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6jCzZdwlyIB606BS16dq+ZS9etyCOcESMvZYCzkhoDgROeD+OqrTVzrIRRmCzwJ+UU+4TdpxQYcZ9LqT3TycQQ==" workbookSaltValue="EqVAGxp3iz8c4ooGb0mZI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W32" i="20"/>
  <c r="AJ32" i="20"/>
  <c r="G30" i="14"/>
  <c r="G23" i="14"/>
  <c r="U18" i="11"/>
  <c r="AX32" i="20"/>
  <c r="Y32" i="20"/>
  <c r="L32" i="20"/>
  <c r="AG32" i="20"/>
  <c r="H32" i="20"/>
  <c r="T32" i="21"/>
  <c r="F32" i="20"/>
  <c r="AF32" i="20"/>
  <c r="G26" i="14"/>
  <c r="S32" i="20"/>
  <c r="K32" i="20"/>
  <c r="AQ32" i="21"/>
  <c r="O17" i="11"/>
  <c r="O18" i="11"/>
  <c r="R32" i="20"/>
  <c r="BF16" i="8" l="1"/>
  <c r="F16" i="11"/>
  <c r="AQ16" i="11" s="1"/>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10" i="12" l="1"/>
  <c r="I9" i="12"/>
  <c r="K17" i="12"/>
  <c r="BF23" i="13"/>
  <c r="BL9" i="11"/>
  <c r="BH21" i="16"/>
  <c r="BF11" i="11"/>
  <c r="X12" i="21"/>
  <c r="R28" i="14"/>
  <c r="R18" i="14"/>
  <c r="S28" i="14"/>
  <c r="V28" i="14" s="1"/>
  <c r="S21" i="14"/>
  <c r="V21" i="14" s="1"/>
  <c r="AP17" i="20"/>
  <c r="BL19"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G12" i="11"/>
  <c r="BI9" i="11"/>
  <c r="BL10" i="11"/>
  <c r="BH10" i="16"/>
  <c r="BJ17" i="11"/>
  <c r="BK22" i="11"/>
  <c r="BL17" i="11"/>
  <c r="BH22" i="11"/>
  <c r="X12" i="17"/>
  <c r="L22" i="2"/>
  <c r="X22" i="16"/>
  <c r="S16" i="17"/>
  <c r="S17" i="17"/>
  <c r="L12" i="2"/>
  <c r="X19" i="16"/>
  <c r="L20" i="2"/>
  <c r="U9" i="17"/>
  <c r="U31" i="17" s="1"/>
  <c r="V9" i="16"/>
  <c r="BJ18" i="11"/>
  <c r="BM17" i="11"/>
  <c r="BF21" i="11"/>
  <c r="BF17" i="11"/>
  <c r="Q17" i="11" s="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I20" i="11"/>
  <c r="BL28" i="11"/>
  <c r="BH11" i="11"/>
  <c r="S18" i="17"/>
  <c r="BM9" i="11"/>
  <c r="BH12" i="16"/>
  <c r="X10" i="21"/>
  <c r="V10" i="16"/>
  <c r="X13"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<sst xmlns="http://schemas.openxmlformats.org/spreadsheetml/2006/main" count="2668" uniqueCount="1192">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</sst>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BE+kz6savS8Xrf4LN8NXbvtgQSrOiqGYGHnW1iGNERcT6EDZBmx7W536ewozGfl0JqsKgNvvexDTshROH6Uhg==" saltValue="wIhzxTnh9vZWw5YZR6cb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24</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34.051384003670286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4</v>
      </c>
      <c r="B10" s="1461" t="str">
        <f>Datos!A10</f>
        <v>Jdos. Violencia contra la mujer</v>
      </c>
      <c r="C10" s="239">
        <f t="shared" si="0"/>
        <v>342</v>
      </c>
      <c r="D10" s="239">
        <f>IF(ISNUMBER(Datos!I10),Datos!I10," - ")</f>
        <v>342</v>
      </c>
      <c r="E10" s="240">
        <f>IF(ISNUMBER(Datos!J10),Datos!J10," - ")</f>
        <v>181</v>
      </c>
      <c r="F10" s="240">
        <f>IF(ISNUMBER(Datos!K10),Datos!K10," - ")</f>
        <v>192</v>
      </c>
      <c r="G10" s="1390" t="str">
        <f>IF(Datos!E10&lt;&gt;"",Datos!E10,Datos!D10)</f>
        <v>37</v>
      </c>
      <c r="H10" s="241">
        <f>IF(ISNUMBER(Datos!L10),Datos!L10," - ")</f>
        <v>331</v>
      </c>
      <c r="I10" s="1400" t="str">
        <f>IF(ISNUMBER(Datos!AS10/Datos!BM10),Datos!AS10/Datos!BM10," - ")</f>
        <v xml:space="preserve"> - </v>
      </c>
      <c r="J10" s="1401">
        <f>IF(ISNUMBER(Datos!BY10/Datos!CN10),Datos!BY10/Datos!CN10," - ")</f>
        <v>0</v>
      </c>
      <c r="K10" s="244">
        <f t="shared" ref="K10:K13" si="1">IF(ISNUMBER((E10-F10)/C10),(E10-F10)/C10," - ")</f>
        <v>-3.2163742690058478E-2</v>
      </c>
      <c r="L10" s="1402">
        <f>IF(ISNUMBER(NºAsuntos!I10/NºAsuntos!G10),(NºAsuntos!I10/NºAsuntos!G10)*11," - ")</f>
        <v>18.963541666666664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6</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11.130132219902576</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342</v>
      </c>
      <c r="D14" s="1407">
        <f>SUBTOTAL(9,D9:D13)</f>
        <v>342</v>
      </c>
      <c r="E14" s="1408">
        <f>SUBTOTAL(9,E9:E13)</f>
        <v>181</v>
      </c>
      <c r="F14" s="1409">
        <f>SUBTOTAL(9,F9:F13)</f>
        <v>192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20</v>
      </c>
      <c r="B16" s="1461" t="str">
        <f>Datos!A16</f>
        <v xml:space="preserve">Jdos. Instrucción                               </v>
      </c>
      <c r="C16" s="239">
        <f t="shared" ref="C16:C22" si="2">IF(ISNUMBER(H16-E16+F16),H16-E16+F16," - ")</f>
        <v>9072</v>
      </c>
      <c r="D16" s="239">
        <f>IF(ISNUMBER(IF(D_I="SI",Datos!I16,Datos!I16+Datos!AC16)),IF(D_I="SI",Datos!I16,Datos!I16+Datos!AC16)," - ")</f>
        <v>8654</v>
      </c>
      <c r="E16" s="240">
        <f>IF(ISNUMBER(IF(D_I="SI",Datos!J16,Datos!J16+Datos!AD16)),IF(D_I="SI",Datos!J16,Datos!J16+Datos!AD16)," - ")</f>
        <v>17916</v>
      </c>
      <c r="F16" s="240">
        <f>IF(ISNUMBER(IF(D_I="SI",Datos!K16,Datos!K16+Datos!AE16)),IF(D_I="SI",Datos!K16,Datos!K16+Datos!AE16)," - ")</f>
        <v>18430</v>
      </c>
      <c r="G16" s="1390" t="str">
        <f>IF(Datos!E16&lt;&gt;"",Datos!E16,Datos!D16)</f>
        <v>03</v>
      </c>
      <c r="H16" s="241">
        <f>IF(ISNUMBER(IF(D_I="SI",Datos!L16,Datos!L16+Datos!AF16)),IF(D_I="SI",Datos!L16,Datos!L16+Datos!AF16)," - ")</f>
        <v>8558</v>
      </c>
      <c r="I16" s="1400" t="str">
        <f>IF(ISNUMBER(Datos!AS16/Datos!BM16),Datos!AS16/Datos!BM16," - ")</f>
        <v xml:space="preserve"> - </v>
      </c>
      <c r="J16" s="1401">
        <f>IF(ISNUMBER(Datos!BY16/Datos!CN16),Datos!BY16/Datos!CN16," - ")</f>
        <v>0</v>
      </c>
      <c r="K16" s="244">
        <f t="shared" ref="K16:K22" si="3">IF(ISNUMBER((E16-F16)/C16),(E16-F16)/C16," - ")</f>
        <v>-5.6657848324514988E-2</v>
      </c>
      <c r="L16" s="1402">
        <f>IF(ISNUMBER(NºAsuntos!I16/NºAsuntos!G16),(NºAsuntos!I16/NºAsuntos!G16)*11," - ")</f>
        <v>5.1078676071622358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4</v>
      </c>
      <c r="B18" s="1461" t="str">
        <f>Datos!A18</f>
        <v>Jdos. Violencia contra la mujer</v>
      </c>
      <c r="C18" s="239">
        <f t="shared" si="2"/>
        <v>754</v>
      </c>
      <c r="D18" s="239">
        <f>IF(ISNUMBER(IF(D_I="SI",Datos!I18,Datos!I18+Datos!AC18)),IF(D_I="SI",Datos!I18,Datos!I18+Datos!AC18)," - ")</f>
        <v>753</v>
      </c>
      <c r="E18" s="240">
        <f>IF(ISNUMBER(IF(D_I="SI",Datos!J18,Datos!J18+Datos!AD18)),IF(D_I="SI",Datos!J18,Datos!J18+Datos!AD18)," - ")</f>
        <v>1707</v>
      </c>
      <c r="F18" s="240">
        <f>IF(ISNUMBER(IF(D_I="SI",Datos!K18,Datos!K18+Datos!AE18)),IF(D_I="SI",Datos!K18,Datos!K18+Datos!AE18)," - ")</f>
        <v>1704</v>
      </c>
      <c r="G18" s="1390" t="str">
        <f>IF(Datos!E18&lt;&gt;"",Datos!E18,Datos!D18)</f>
        <v>37</v>
      </c>
      <c r="H18" s="241">
        <f>IF(ISNUMBER(IF(D_I="SI",Datos!L18,Datos!L18+Datos!AF18)),IF(D_I="SI",Datos!L18,Datos!L18+Datos!AF18)," - ")</f>
        <v>757</v>
      </c>
      <c r="I18" s="1400" t="str">
        <f>IF(ISNUMBER(Datos!AS18/Datos!BM18),Datos!AS18/Datos!BM18," - ")</f>
        <v xml:space="preserve"> - </v>
      </c>
      <c r="J18" s="1401" t="str">
        <f>IF(ISNUMBER((Datos!BY18+Datos!BZ18)/Datos!CN18),(Datos!BY18+Datos!BZ18)/Datos!CN18," - ")</f>
        <v xml:space="preserve"> - </v>
      </c>
      <c r="K18" s="244">
        <f t="shared" si="3"/>
        <v>3.9787798408488064E-3</v>
      </c>
      <c r="L18" s="1402">
        <f>IF(ISNUMBER(NºAsuntos!I18/NºAsuntos!G18),(NºAsuntos!I18/NºAsuntos!G18)*11," - ")</f>
        <v>4.886737089201878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9826</v>
      </c>
      <c r="D23" s="1407">
        <f>SUBTOTAL(9,D16:D22)</f>
        <v>9407</v>
      </c>
      <c r="E23" s="1408">
        <f>SUBTOTAL(9,E16:E22)</f>
        <v>19623</v>
      </c>
      <c r="F23" s="1408">
        <f>SUBTOTAL(9,F16:F22)</f>
        <v>20134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10168</v>
      </c>
      <c r="D31" s="1435">
        <f>SUBTOTAL(9,D9:D30)</f>
        <v>9749</v>
      </c>
      <c r="E31" s="1436">
        <f>SUBTOTAL(9,E9:E30)</f>
        <v>19804</v>
      </c>
      <c r="F31" s="1436">
        <f>SUBTOTAL(9,F9:F30)</f>
        <v>20326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c98yj2tY5R/ML947cNXnVMykx7vNIoMo29SU6KnwwpRYuZl7JmPYgbL95t5CDWNM3p2JWJ+5x8UtMMxTUAqLg==" saltValue="7AL9u6pnEabUVOGrKr5iw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QlpzqBQmZed5S+EiAAzQzqAiBM7aHDrlZY0su4K/8Ns6S0RQA8aLWkEkl8ZtobVl/lUbytAL4VDazy16HBz4A==" saltValue="UHLpuAeaLEqWtQqiPdoG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40311</v>
      </c>
      <c r="J9" s="194">
        <v>11629</v>
      </c>
      <c r="K9" s="194">
        <v>12352</v>
      </c>
      <c r="L9" s="194">
        <v>39770</v>
      </c>
      <c r="M9" s="194">
        <v>3065</v>
      </c>
      <c r="N9" s="194">
        <v>5552</v>
      </c>
      <c r="O9" s="194">
        <v>6129</v>
      </c>
      <c r="P9" s="194">
        <v>2982</v>
      </c>
      <c r="Q9" s="194">
        <v>3007</v>
      </c>
      <c r="R9" s="194">
        <v>40448</v>
      </c>
      <c r="S9" s="194">
        <v>43855</v>
      </c>
      <c r="T9" s="194">
        <v>11432</v>
      </c>
      <c r="U9" s="194">
        <v>12850</v>
      </c>
      <c r="V9" s="194">
        <v>42028</v>
      </c>
      <c r="W9" s="194">
        <v>2973</v>
      </c>
      <c r="X9" s="201">
        <v>5856</v>
      </c>
      <c r="Y9" s="204">
        <v>672</v>
      </c>
      <c r="Z9" s="194">
        <v>759</v>
      </c>
      <c r="AA9" s="194">
        <v>726</v>
      </c>
      <c r="AB9" s="194">
        <v>714</v>
      </c>
      <c r="AC9" s="194">
        <v>0</v>
      </c>
      <c r="AD9" s="194">
        <v>0</v>
      </c>
      <c r="AE9" s="194">
        <v>0</v>
      </c>
      <c r="AF9" s="201">
        <v>0</v>
      </c>
      <c r="AG9" s="204">
        <v>782</v>
      </c>
      <c r="AH9" s="194">
        <v>871</v>
      </c>
      <c r="AI9" s="194">
        <v>961</v>
      </c>
      <c r="AJ9" s="205">
        <v>724</v>
      </c>
      <c r="AK9" s="193">
        <v>0</v>
      </c>
      <c r="AL9" s="194">
        <v>0</v>
      </c>
      <c r="AM9" s="194">
        <v>0</v>
      </c>
      <c r="AN9" s="201">
        <v>0</v>
      </c>
      <c r="AO9" s="282">
        <v>24</v>
      </c>
      <c r="AP9" s="167">
        <v>24</v>
      </c>
      <c r="AQ9" s="167">
        <v>24</v>
      </c>
      <c r="AR9" s="206">
        <v>24</v>
      </c>
      <c r="AS9" s="379" t="s">
        <v>1072</v>
      </c>
      <c r="AT9" s="208"/>
      <c r="AU9" s="207"/>
      <c r="AV9" s="208"/>
      <c r="AW9" s="207"/>
      <c r="AX9" s="208"/>
      <c r="AY9" s="133">
        <f>IF(ISNUMBER(IF(J_V="SI",S9,S9+AG9)),IF(J_V="SI",S9,S9+AG9)," - ")</f>
        <v>44637</v>
      </c>
      <c r="AZ9" s="133">
        <f>IF(ISNUMBER(IF(J_V="SI",T9,T9+AH9)),IF(J_V="SI",T9,T9+AH9)," - ")</f>
        <v>12303</v>
      </c>
      <c r="BA9" s="134">
        <f>IF(ISNUMBER(IF(J_V="SI",U9,U9+AI9)),IF(J_V="SI",U9,U9+AI9)," - ")</f>
        <v>13811</v>
      </c>
      <c r="BB9" s="134">
        <f>IF(ISNUMBER(IF(J_V="SI",V9,V9+AJ9)),IF(J_V="SI",V9,V9+AJ9)," - ")</f>
        <v>42752</v>
      </c>
      <c r="BC9" s="135">
        <f>IF(ISNUMBER(X9),X9," - ")</f>
        <v>5856</v>
      </c>
      <c r="BD9" s="136">
        <f>IF(ISNUMBER(BA9/AZ9),BA9/AZ9," - ")</f>
        <v>1.1225717304722425</v>
      </c>
      <c r="BE9" s="137">
        <f>IF(ISNUMBER(BB9/BA9),BB9/BA9, " - ")</f>
        <v>3.0955035840996308</v>
      </c>
      <c r="BF9" s="137">
        <f>IF(ISNUMBER(BC9/BA9),BC9/BA9, " - ")</f>
        <v>0.42400984722322788</v>
      </c>
      <c r="BG9" s="209">
        <f>IF(ISNUMBER((AY9+AZ9)/BA9),(AY9+AZ9)/BA9," - ")</f>
        <v>4.1228006661356886</v>
      </c>
      <c r="BH9" s="167">
        <v>24</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342</v>
      </c>
      <c r="J10" s="194">
        <v>181</v>
      </c>
      <c r="K10" s="194">
        <v>192</v>
      </c>
      <c r="L10" s="194">
        <v>331</v>
      </c>
      <c r="M10" s="194">
        <v>69</v>
      </c>
      <c r="N10" s="194">
        <v>86</v>
      </c>
      <c r="O10" s="194">
        <v>60</v>
      </c>
      <c r="P10" s="194">
        <v>34</v>
      </c>
      <c r="Q10" s="194">
        <v>46</v>
      </c>
      <c r="R10" s="194">
        <v>320</v>
      </c>
      <c r="S10" s="194">
        <v>358</v>
      </c>
      <c r="T10" s="194">
        <v>151</v>
      </c>
      <c r="U10" s="194">
        <v>195</v>
      </c>
      <c r="V10" s="194">
        <v>314</v>
      </c>
      <c r="W10" s="194">
        <v>61</v>
      </c>
      <c r="X10" s="201">
        <v>86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4</v>
      </c>
      <c r="AP10" s="168">
        <v>4</v>
      </c>
      <c r="AQ10" s="167">
        <v>4</v>
      </c>
      <c r="AR10" s="168">
        <v>4</v>
      </c>
      <c r="AS10" s="380" t="s">
        <v>1066</v>
      </c>
      <c r="AT10" s="205"/>
      <c r="AU10" s="213"/>
      <c r="AV10" s="205"/>
      <c r="AW10" s="213"/>
      <c r="AX10" s="205"/>
      <c r="AY10" s="138">
        <f t="shared" ref="AY10:BC10" si="0">IF(ISNUMBER(S10),S10," - ")</f>
        <v>358</v>
      </c>
      <c r="AZ10" s="139">
        <f t="shared" si="0"/>
        <v>151</v>
      </c>
      <c r="BA10" s="139">
        <f t="shared" si="0"/>
        <v>195</v>
      </c>
      <c r="BB10" s="139">
        <f t="shared" si="0"/>
        <v>314</v>
      </c>
      <c r="BC10" s="135">
        <f t="shared" si="0"/>
        <v>61</v>
      </c>
      <c r="BD10" s="136">
        <f>IF(ISNUMBER(BA10/AZ10),BA10/AZ10," - ")</f>
        <v>1.2913907284768211</v>
      </c>
      <c r="BE10" s="137">
        <f>IF(ISNUMBER(BB10/BA10),BB10/BA10, " - ")</f>
        <v>1.6102564102564103</v>
      </c>
      <c r="BF10" s="137">
        <f>IF(ISNUMBER(BC10/BA10),BC10/BA10, " - ")</f>
        <v>0.31282051282051282</v>
      </c>
      <c r="BG10" s="209">
        <f>IF(ISNUMBER((AY10+AZ10)/BA10),(AY10+AZ10)/BA10," - ")</f>
        <v>2.6102564102564103</v>
      </c>
      <c r="BH10" s="168">
        <v>4</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2564</v>
      </c>
      <c r="J11" s="196">
        <v>1672</v>
      </c>
      <c r="K11" s="196">
        <v>1858</v>
      </c>
      <c r="L11" s="196">
        <v>2379</v>
      </c>
      <c r="M11" s="196">
        <v>928</v>
      </c>
      <c r="N11" s="196">
        <v>1446</v>
      </c>
      <c r="O11" s="194">
        <v>738</v>
      </c>
      <c r="P11" s="196">
        <v>234</v>
      </c>
      <c r="Q11" s="196">
        <v>287</v>
      </c>
      <c r="R11" s="196">
        <v>2251</v>
      </c>
      <c r="S11" s="196">
        <v>3177</v>
      </c>
      <c r="T11" s="196">
        <v>1930</v>
      </c>
      <c r="U11" s="196">
        <v>2246</v>
      </c>
      <c r="V11" s="196">
        <v>2861</v>
      </c>
      <c r="W11" s="196">
        <v>1156</v>
      </c>
      <c r="X11" s="202">
        <v>1257</v>
      </c>
      <c r="Y11" s="204">
        <v>511</v>
      </c>
      <c r="Z11" s="194">
        <v>1034</v>
      </c>
      <c r="AA11" s="194">
        <v>1016</v>
      </c>
      <c r="AB11" s="194">
        <v>529</v>
      </c>
      <c r="AC11" s="196">
        <v>0</v>
      </c>
      <c r="AD11" s="196">
        <v>0</v>
      </c>
      <c r="AE11" s="196">
        <v>0</v>
      </c>
      <c r="AF11" s="202">
        <v>0</v>
      </c>
      <c r="AG11" s="215">
        <v>429</v>
      </c>
      <c r="AH11" s="196">
        <v>908</v>
      </c>
      <c r="AI11" s="196">
        <v>952</v>
      </c>
      <c r="AJ11" s="216">
        <v>385</v>
      </c>
      <c r="AK11" s="195">
        <v>0</v>
      </c>
      <c r="AL11" s="196">
        <v>0</v>
      </c>
      <c r="AM11" s="196">
        <v>0</v>
      </c>
      <c r="AN11" s="202">
        <v>0</v>
      </c>
      <c r="AO11" s="283">
        <v>6</v>
      </c>
      <c r="AP11" s="168">
        <v>6</v>
      </c>
      <c r="AQ11" s="168">
        <v>6</v>
      </c>
      <c r="AR11" s="167">
        <v>6</v>
      </c>
      <c r="AS11" s="381" t="s">
        <v>1074</v>
      </c>
      <c r="AT11" s="216"/>
      <c r="AU11" s="215"/>
      <c r="AV11" s="216"/>
      <c r="AW11" s="215"/>
      <c r="AX11" s="216"/>
      <c r="AY11" s="136">
        <f t="shared" ref="AY11:BB12" si="1">IF(ISNUMBER(IF(J_V="SI",S11,S11+AG11)),IF(J_V="SI",S11,S11+AG11)," - ")</f>
        <v>3606</v>
      </c>
      <c r="AZ11" s="137">
        <f t="shared" si="1"/>
        <v>2838</v>
      </c>
      <c r="BA11" s="137">
        <f t="shared" si="1"/>
        <v>3198</v>
      </c>
      <c r="BB11" s="137">
        <f t="shared" si="1"/>
        <v>3246</v>
      </c>
      <c r="BC11" s="135">
        <f>IF(ISNUMBER(X11),X11," - ")</f>
        <v>1257</v>
      </c>
      <c r="BD11" s="136">
        <f t="shared" ref="BD11:BD13" si="2">IF(ISNUMBER(BA11/AZ11),BA11/AZ11," - ")</f>
        <v>1.1268498942917549</v>
      </c>
      <c r="BE11" s="137">
        <f t="shared" ref="BE11:BE13" si="3">IF(ISNUMBER(BB11/BA11),BB11/BA11, " - ")</f>
        <v>1.0150093808630394</v>
      </c>
      <c r="BF11" s="137">
        <f t="shared" ref="BF11:BF13" si="4">IF(ISNUMBER(BC11/BA11),BC11/BA11, " - ")</f>
        <v>0.39305816135084426</v>
      </c>
      <c r="BG11" s="209">
        <f t="shared" ref="BG11:BG13" si="5">IF(ISNUMBER((AY11+AZ11)/BA11),(AY11+AZ11)/BA11," - ")</f>
        <v>2.0150093808630394</v>
      </c>
      <c r="BH11" s="168">
        <v>6</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43217</v>
      </c>
      <c r="J14" s="197">
        <f t="shared" si="7"/>
        <v>13482</v>
      </c>
      <c r="K14" s="197">
        <f t="shared" si="7"/>
        <v>14402</v>
      </c>
      <c r="L14" s="197">
        <f t="shared" si="7"/>
        <v>42480</v>
      </c>
      <c r="M14" s="197">
        <f t="shared" si="7"/>
        <v>4062</v>
      </c>
      <c r="N14" s="197">
        <f t="shared" si="7"/>
        <v>7084</v>
      </c>
      <c r="O14" s="197">
        <f t="shared" si="7"/>
        <v>6927</v>
      </c>
      <c r="P14" s="197">
        <f t="shared" si="7"/>
        <v>3250</v>
      </c>
      <c r="Q14" s="197">
        <f t="shared" si="7"/>
        <v>3340</v>
      </c>
      <c r="R14" s="197">
        <f t="shared" si="7"/>
        <v>43019</v>
      </c>
      <c r="S14" s="197">
        <f t="shared" si="7"/>
        <v>47390</v>
      </c>
      <c r="T14" s="197">
        <f t="shared" si="7"/>
        <v>13513</v>
      </c>
      <c r="U14" s="197">
        <f t="shared" si="7"/>
        <v>15291</v>
      </c>
      <c r="V14" s="197">
        <f t="shared" si="7"/>
        <v>45203</v>
      </c>
      <c r="W14" s="197">
        <f t="shared" si="7"/>
        <v>4190</v>
      </c>
      <c r="X14" s="197">
        <f t="shared" si="7"/>
        <v>7199</v>
      </c>
      <c r="Y14" s="197">
        <f t="shared" si="7"/>
        <v>1183</v>
      </c>
      <c r="Z14" s="197">
        <f t="shared" si="7"/>
        <v>1793</v>
      </c>
      <c r="AA14" s="197">
        <f t="shared" si="7"/>
        <v>1742</v>
      </c>
      <c r="AB14" s="197">
        <f t="shared" si="7"/>
        <v>1243</v>
      </c>
      <c r="AC14" s="197">
        <f t="shared" si="7"/>
        <v>0</v>
      </c>
      <c r="AD14" s="197">
        <f t="shared" si="7"/>
        <v>0</v>
      </c>
      <c r="AE14" s="197">
        <f t="shared" si="7"/>
        <v>0</v>
      </c>
      <c r="AF14" s="197">
        <f>SUBTOTAL(9,AF9:AF13)</f>
        <v>0</v>
      </c>
      <c r="AG14" s="197">
        <f t="shared" ref="AG14:AT14" si="8">SUBTOTAL(9,AG8:AG13)</f>
        <v>1211</v>
      </c>
      <c r="AH14" s="197">
        <f t="shared" si="8"/>
        <v>1779</v>
      </c>
      <c r="AI14" s="197">
        <f t="shared" si="8"/>
        <v>1913</v>
      </c>
      <c r="AJ14" s="197">
        <f t="shared" si="8"/>
        <v>1109</v>
      </c>
      <c r="AK14" s="197">
        <f t="shared" si="8"/>
        <v>0</v>
      </c>
      <c r="AL14" s="197">
        <f t="shared" si="8"/>
        <v>0</v>
      </c>
      <c r="AM14" s="197">
        <f t="shared" si="8"/>
        <v>0</v>
      </c>
      <c r="AN14" s="197">
        <f t="shared" si="8"/>
        <v>0</v>
      </c>
      <c r="AO14" s="197">
        <f t="shared" si="8"/>
        <v>34</v>
      </c>
      <c r="AP14" s="197">
        <f t="shared" si="8"/>
        <v>34</v>
      </c>
      <c r="AQ14" s="197">
        <f t="shared" si="8"/>
        <v>34</v>
      </c>
      <c r="AR14" s="197">
        <f t="shared" si="8"/>
        <v>34</v>
      </c>
      <c r="AS14" s="197">
        <f t="shared" si="8"/>
        <v>0</v>
      </c>
      <c r="AT14" s="197">
        <f t="shared" si="8"/>
        <v>0</v>
      </c>
      <c r="AU14" s="217"/>
      <c r="AV14" s="142"/>
      <c r="AW14" s="217"/>
      <c r="AX14" s="142"/>
      <c r="AY14" s="197">
        <f>SUBTOTAL(9,AY8:AY13)</f>
        <v>48601</v>
      </c>
      <c r="AZ14" s="197">
        <f>SUBTOTAL(9,AZ8:AZ13)</f>
        <v>15292</v>
      </c>
      <c r="BA14" s="197">
        <f>SUBTOTAL(9,BA8:BA13)</f>
        <v>17204</v>
      </c>
      <c r="BB14" s="197">
        <f>SUBTOTAL(9,BB8:BB13)</f>
        <v>46312</v>
      </c>
      <c r="BC14" s="197">
        <f>SUBTOTAL(9,BC8:BC13)</f>
        <v>7174</v>
      </c>
      <c r="BD14" s="219">
        <f>IF(ISNUMBER(BA14/AZ14),BA14/AZ14," - ")</f>
        <v>1.1250326968349464</v>
      </c>
      <c r="BE14" s="220">
        <f>IF(ISNUMBER(BB14/BA14),BB14/BA14, " - ")</f>
        <v>2.6919321088119044</v>
      </c>
      <c r="BF14" s="220">
        <f>IF(ISNUMBER(BC14/BA14),BC14/BA14, " - ")</f>
        <v>0.41699604743083002</v>
      </c>
      <c r="BG14" s="221">
        <f>IF(ISNUMBER((AY14+AZ14)/BA14),(AY14+AZ14)/BA14," - ")</f>
        <v>3.7138456172983028</v>
      </c>
      <c r="BH14" s="153">
        <f>SUBTOTAL(9,BH8:BH13)</f>
        <v>34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8654</v>
      </c>
      <c r="J16" s="196">
        <v>17916</v>
      </c>
      <c r="K16" s="196">
        <v>18430</v>
      </c>
      <c r="L16" s="196">
        <v>8558</v>
      </c>
      <c r="M16" s="196">
        <v>2020</v>
      </c>
      <c r="N16" s="196">
        <v>11491</v>
      </c>
      <c r="O16" s="194">
        <v>391</v>
      </c>
      <c r="P16" s="196">
        <v>812</v>
      </c>
      <c r="Q16" s="196">
        <v>922</v>
      </c>
      <c r="R16" s="196">
        <v>1454</v>
      </c>
      <c r="S16" s="196">
        <v>9632</v>
      </c>
      <c r="T16" s="196">
        <v>18105</v>
      </c>
      <c r="U16" s="196">
        <v>19158</v>
      </c>
      <c r="V16" s="196">
        <v>9174</v>
      </c>
      <c r="W16" s="196">
        <v>2041</v>
      </c>
      <c r="X16" s="202">
        <v>11482</v>
      </c>
      <c r="Y16" s="215">
        <v>0</v>
      </c>
      <c r="Z16" s="196">
        <v>0</v>
      </c>
      <c r="AA16" s="196">
        <v>0</v>
      </c>
      <c r="AB16" s="196">
        <v>0</v>
      </c>
      <c r="AC16" s="196">
        <v>0</v>
      </c>
      <c r="AD16" s="196">
        <v>6</v>
      </c>
      <c r="AE16" s="196">
        <v>6</v>
      </c>
      <c r="AF16" s="202">
        <v>0</v>
      </c>
      <c r="AG16" s="215">
        <v>0</v>
      </c>
      <c r="AH16" s="196">
        <v>0</v>
      </c>
      <c r="AI16" s="196">
        <v>0</v>
      </c>
      <c r="AJ16" s="216">
        <v>0</v>
      </c>
      <c r="AK16" s="195">
        <v>0</v>
      </c>
      <c r="AL16" s="196">
        <v>6</v>
      </c>
      <c r="AM16" s="196">
        <v>6</v>
      </c>
      <c r="AN16" s="202">
        <v>0</v>
      </c>
      <c r="AO16" s="283">
        <v>20</v>
      </c>
      <c r="AP16" s="168">
        <v>20</v>
      </c>
      <c r="AQ16" s="168">
        <v>20</v>
      </c>
      <c r="AR16" s="168">
        <v>20</v>
      </c>
      <c r="AS16" s="381" t="s">
        <v>702</v>
      </c>
      <c r="AT16" s="216" t="s">
        <v>424</v>
      </c>
      <c r="AU16" s="215"/>
      <c r="AV16" s="216"/>
      <c r="AW16" s="215"/>
      <c r="AX16" s="216"/>
      <c r="AY16" s="138">
        <f t="shared" ref="AY16:BB17" si="10">IF(ISNUMBER(IF(D_I="SI",S16,S16+AK16)),IF(D_I="SI",S16,S16+AK16)," - ")</f>
        <v>9632</v>
      </c>
      <c r="AZ16" s="139">
        <f t="shared" si="10"/>
        <v>18105</v>
      </c>
      <c r="BA16" s="139">
        <f t="shared" si="10"/>
        <v>19158</v>
      </c>
      <c r="BB16" s="139">
        <f t="shared" si="10"/>
        <v>9174</v>
      </c>
      <c r="BC16" s="135">
        <f>IF(ISNUMBER(W16),W16," - ")</f>
        <v>2041</v>
      </c>
      <c r="BD16" s="136">
        <f>IF(ISNUMBER(BA16/AZ16),BA16/AZ16," - ")</f>
        <v>1.0581607290803645</v>
      </c>
      <c r="BE16" s="137">
        <f>IF(ISNUMBER(BB16/BA16),BB16/BA16, " - ")</f>
        <v>0.47886000626370184</v>
      </c>
      <c r="BF16" s="137">
        <f>IF(ISNUMBER(BC16/BA16),BC16/BA16, " - ")</f>
        <v>0.10653512892786303</v>
      </c>
      <c r="BG16" s="209">
        <f t="shared" ref="BG16:BG22" si="11">IF(ISNUMBER((AY16+AZ16)/BA16),(AY16+AZ16)/BA16," - ")</f>
        <v>1.447802484601733</v>
      </c>
      <c r="BH16" s="168">
        <v>20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753</v>
      </c>
      <c r="J18" s="196">
        <v>1707</v>
      </c>
      <c r="K18" s="196">
        <v>1704</v>
      </c>
      <c r="L18" s="196">
        <v>757</v>
      </c>
      <c r="M18" s="196">
        <v>72</v>
      </c>
      <c r="N18" s="196">
        <v>1179</v>
      </c>
      <c r="O18" s="196">
        <v>12</v>
      </c>
      <c r="P18" s="196">
        <v>18</v>
      </c>
      <c r="Q18" s="196">
        <v>21</v>
      </c>
      <c r="R18" s="196">
        <v>30</v>
      </c>
      <c r="S18" s="196">
        <v>781</v>
      </c>
      <c r="T18" s="196">
        <v>1533</v>
      </c>
      <c r="U18" s="196">
        <v>1557</v>
      </c>
      <c r="V18" s="196">
        <v>762</v>
      </c>
      <c r="W18" s="196">
        <v>99</v>
      </c>
      <c r="X18" s="202">
        <v>956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4</v>
      </c>
      <c r="AP18" s="168">
        <v>4</v>
      </c>
      <c r="AQ18" s="167">
        <v>4</v>
      </c>
      <c r="AR18" s="168">
        <v>4</v>
      </c>
      <c r="AS18" s="380" t="s">
        <v>1065</v>
      </c>
      <c r="AT18" s="223"/>
      <c r="AU18" s="213"/>
      <c r="AV18" s="223"/>
      <c r="AW18" s="213"/>
      <c r="AX18" s="223"/>
      <c r="AY18" s="138">
        <f t="shared" ref="AY18:BB19" si="15">IF(ISNUMBER(S18),S18," - ")</f>
        <v>781</v>
      </c>
      <c r="AZ18" s="139">
        <f t="shared" si="15"/>
        <v>1533</v>
      </c>
      <c r="BA18" s="139">
        <f t="shared" si="15"/>
        <v>1557</v>
      </c>
      <c r="BB18" s="139">
        <f t="shared" si="15"/>
        <v>762</v>
      </c>
      <c r="BC18" s="135">
        <f>IF(ISNUMBER(W18),W18," - ")</f>
        <v>99</v>
      </c>
      <c r="BD18" s="136">
        <f>IF(ISNUMBER(BA18/AZ18),BA18/AZ18," - ")</f>
        <v>1.0156555772994129</v>
      </c>
      <c r="BE18" s="137">
        <f>IF(ISNUMBER(BB18/BA18),BB18/BA18, " - ")</f>
        <v>0.48940269749518306</v>
      </c>
      <c r="BF18" s="137">
        <f>IF(ISNUMBER(BC18/BA18),BC18/BA18, " - ")</f>
        <v>6.358381502890173E-2</v>
      </c>
      <c r="BG18" s="209">
        <f>IF(ISNUMBER((AY18+AZ18)/BA18),(AY18+AZ18)/BA18," - ")</f>
        <v>1.4861913937058446</v>
      </c>
      <c r="BH18" s="168">
        <v>4</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9407</v>
      </c>
      <c r="J23" s="197">
        <f t="shared" si="21"/>
        <v>19623</v>
      </c>
      <c r="K23" s="197">
        <f t="shared" si="21"/>
        <v>20134</v>
      </c>
      <c r="L23" s="197">
        <f t="shared" si="21"/>
        <v>9315</v>
      </c>
      <c r="M23" s="197">
        <f t="shared" si="21"/>
        <v>2092</v>
      </c>
      <c r="N23" s="197">
        <f t="shared" si="21"/>
        <v>12670</v>
      </c>
      <c r="O23" s="197">
        <f t="shared" si="21"/>
        <v>403</v>
      </c>
      <c r="P23" s="197">
        <f t="shared" si="21"/>
        <v>830</v>
      </c>
      <c r="Q23" s="197">
        <f t="shared" si="21"/>
        <v>943</v>
      </c>
      <c r="R23" s="197">
        <f t="shared" si="21"/>
        <v>1484</v>
      </c>
      <c r="S23" s="197">
        <f t="shared" si="21"/>
        <v>10413</v>
      </c>
      <c r="T23" s="197">
        <f t="shared" si="21"/>
        <v>19638</v>
      </c>
      <c r="U23" s="197">
        <f t="shared" si="21"/>
        <v>20715</v>
      </c>
      <c r="V23" s="197">
        <f t="shared" si="21"/>
        <v>9936</v>
      </c>
      <c r="W23" s="197">
        <f t="shared" si="21"/>
        <v>2140</v>
      </c>
      <c r="X23" s="197">
        <f t="shared" si="21"/>
        <v>12438</v>
      </c>
      <c r="Y23" s="197">
        <f t="shared" si="21"/>
        <v>0</v>
      </c>
      <c r="Z23" s="197">
        <f t="shared" si="21"/>
        <v>0</v>
      </c>
      <c r="AA23" s="197">
        <f t="shared" si="21"/>
        <v>0</v>
      </c>
      <c r="AB23" s="197">
        <f t="shared" si="21"/>
        <v>0</v>
      </c>
      <c r="AC23" s="197">
        <f t="shared" si="21"/>
        <v>0</v>
      </c>
      <c r="AD23" s="197">
        <f t="shared" si="21"/>
        <v>6</v>
      </c>
      <c r="AE23" s="197">
        <f t="shared" si="21"/>
        <v>6</v>
      </c>
      <c r="AF23" s="197">
        <f t="shared" si="21"/>
        <v>0</v>
      </c>
      <c r="AG23" s="197">
        <f t="shared" si="21"/>
        <v>0</v>
      </c>
      <c r="AH23" s="197">
        <f t="shared" si="21"/>
        <v>0</v>
      </c>
      <c r="AI23" s="197">
        <f t="shared" si="21"/>
        <v>0</v>
      </c>
      <c r="AJ23" s="197">
        <f t="shared" si="21"/>
        <v>0</v>
      </c>
      <c r="AK23" s="197">
        <f t="shared" si="21"/>
        <v>0</v>
      </c>
      <c r="AL23" s="197">
        <f t="shared" si="21"/>
        <v>6</v>
      </c>
      <c r="AM23" s="197">
        <f t="shared" si="21"/>
        <v>6</v>
      </c>
      <c r="AN23" s="197">
        <f t="shared" si="21"/>
        <v>0</v>
      </c>
      <c r="AO23" s="197">
        <f t="shared" si="21"/>
        <v>24</v>
      </c>
      <c r="AP23" s="197">
        <f t="shared" si="21"/>
        <v>24</v>
      </c>
      <c r="AQ23" s="197">
        <f t="shared" si="21"/>
        <v>24</v>
      </c>
      <c r="AR23" s="197">
        <f t="shared" si="21"/>
        <v>24</v>
      </c>
      <c r="AS23" s="197">
        <f t="shared" si="21"/>
        <v>0</v>
      </c>
      <c r="AT23" s="197">
        <f t="shared" si="21"/>
        <v>0</v>
      </c>
      <c r="AU23" s="217"/>
      <c r="AV23" s="142"/>
      <c r="AW23" s="217"/>
      <c r="AX23" s="142"/>
      <c r="AY23" s="197">
        <f>SUBTOTAL(9,AY15:AY22)</f>
        <v>10413</v>
      </c>
      <c r="AZ23" s="197">
        <f>SUBTOTAL(9,AZ15:AZ22)</f>
        <v>19638</v>
      </c>
      <c r="BA23" s="197">
        <f>SUBTOTAL(9,BA15:BA22)</f>
        <v>20715</v>
      </c>
      <c r="BB23" s="197">
        <f>SUBTOTAL(9,BB15:BB22)</f>
        <v>9936</v>
      </c>
      <c r="BC23" s="197">
        <f>SUBTOTAL(9,BC15:BC22)</f>
        <v>2140</v>
      </c>
      <c r="BD23" s="219">
        <f>IF(ISNUMBER(BA23/AZ23),BA23/AZ23," - ")</f>
        <v>1.0548426520012222</v>
      </c>
      <c r="BE23" s="220">
        <f>IF(ISNUMBER(BB23/BA23),BB23/BA23, " - ")</f>
        <v>0.47965242577842143</v>
      </c>
      <c r="BF23" s="220">
        <f>IF(ISNUMBER(BC23/BA23),BC23/BA23, " - ")</f>
        <v>0.10330678252474053</v>
      </c>
      <c r="BG23" s="221">
        <f>IF(ISNUMBER((AY23+AZ23)/BA23),(AY23+AZ23)/BA23," - ")</f>
        <v>1.4506879073135408</v>
      </c>
      <c r="BH23" s="197">
        <f>SUBTOTAL(9,BH15:BH22)</f>
        <v>24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52624</v>
      </c>
      <c r="J31" s="144">
        <f t="shared" si="36"/>
        <v>33105</v>
      </c>
      <c r="K31" s="144">
        <f t="shared" si="36"/>
        <v>34536</v>
      </c>
      <c r="L31" s="144">
        <f t="shared" si="36"/>
        <v>51795</v>
      </c>
      <c r="M31" s="144">
        <f t="shared" si="36"/>
        <v>6154</v>
      </c>
      <c r="N31" s="144">
        <f t="shared" si="36"/>
        <v>19754</v>
      </c>
      <c r="O31" s="144">
        <f t="shared" si="36"/>
        <v>7330</v>
      </c>
      <c r="P31" s="144">
        <f t="shared" si="36"/>
        <v>4080</v>
      </c>
      <c r="Q31" s="144">
        <f t="shared" si="36"/>
        <v>4283</v>
      </c>
      <c r="R31" s="144">
        <f t="shared" si="36"/>
        <v>44503</v>
      </c>
      <c r="S31" s="144">
        <f t="shared" si="36"/>
        <v>57803</v>
      </c>
      <c r="T31" s="144">
        <f t="shared" si="36"/>
        <v>33151</v>
      </c>
      <c r="U31" s="144">
        <f t="shared" si="36"/>
        <v>36006</v>
      </c>
      <c r="V31" s="144">
        <f t="shared" si="36"/>
        <v>55139</v>
      </c>
      <c r="W31" s="144">
        <f t="shared" si="36"/>
        <v>6330</v>
      </c>
      <c r="X31" s="144">
        <f t="shared" si="36"/>
        <v>19637</v>
      </c>
      <c r="Y31" s="144">
        <f t="shared" si="36"/>
        <v>1183</v>
      </c>
      <c r="Z31" s="144">
        <f t="shared" si="36"/>
        <v>1793</v>
      </c>
      <c r="AA31" s="144">
        <f t="shared" si="36"/>
        <v>1742</v>
      </c>
      <c r="AB31" s="144">
        <f t="shared" si="36"/>
        <v>1243</v>
      </c>
      <c r="AC31" s="144">
        <f t="shared" si="36"/>
        <v>0</v>
      </c>
      <c r="AD31" s="144">
        <f t="shared" si="36"/>
        <v>6</v>
      </c>
      <c r="AE31" s="144">
        <f t="shared" si="36"/>
        <v>6</v>
      </c>
      <c r="AF31" s="144">
        <f t="shared" si="36"/>
        <v>0</v>
      </c>
      <c r="AG31" s="144">
        <f t="shared" si="36"/>
        <v>1211</v>
      </c>
      <c r="AH31" s="144">
        <f t="shared" si="36"/>
        <v>1779</v>
      </c>
      <c r="AI31" s="144">
        <f t="shared" si="36"/>
        <v>1913</v>
      </c>
      <c r="AJ31" s="144">
        <f t="shared" si="36"/>
        <v>1109</v>
      </c>
      <c r="AK31" s="144">
        <f t="shared" si="36"/>
        <v>0</v>
      </c>
      <c r="AL31" s="144">
        <f t="shared" si="36"/>
        <v>6</v>
      </c>
      <c r="AM31" s="144">
        <f t="shared" si="36"/>
        <v>6</v>
      </c>
      <c r="AN31" s="224">
        <f t="shared" si="36"/>
        <v>0</v>
      </c>
      <c r="AO31" s="225">
        <v>54</v>
      </c>
      <c r="AP31" s="225">
        <v>54</v>
      </c>
      <c r="AQ31" s="225">
        <v>54</v>
      </c>
      <c r="AR31" s="225">
        <v>54</v>
      </c>
      <c r="AS31" s="166">
        <f t="shared" si="36"/>
        <v>0</v>
      </c>
      <c r="AT31" s="166">
        <f t="shared" si="36"/>
        <v>0</v>
      </c>
      <c r="AU31" s="225"/>
      <c r="AV31" s="226"/>
      <c r="AW31" s="225"/>
      <c r="AX31" s="226"/>
      <c r="AY31" s="143">
        <f>SUBTOTAL(9,AY9:AY30)</f>
        <v>59014</v>
      </c>
      <c r="AZ31" s="144">
        <f>SUBTOTAL(9,AZ9:AZ30)</f>
        <v>34930</v>
      </c>
      <c r="BA31" s="144">
        <f>SUBTOTAL(9,BA9:BA30)</f>
        <v>37919</v>
      </c>
      <c r="BB31" s="144">
        <f>SUBTOTAL(9,BB9:BB30)</f>
        <v>56248</v>
      </c>
      <c r="BC31" s="145">
        <f>SUBTOTAL(9,BC9:BC30)</f>
        <v>9314</v>
      </c>
      <c r="BD31" s="227">
        <f>IF(ISNUMBER(BA31/AZ31),BA31/AZ31," - ")</f>
        <v>1.0855711422845691</v>
      </c>
      <c r="BE31" s="224">
        <f>IF(ISNUMBER(BB31/BA31),BB31/BA31, " - ")</f>
        <v>1.4833724518051636</v>
      </c>
      <c r="BF31" s="224">
        <f>IF(ISNUMBER(BC31/BA31),BC31/BA31, " - ")</f>
        <v>0.24562884042300692</v>
      </c>
      <c r="BG31" s="145">
        <f>IF(ISNUMBER((AY31+AZ31)/BA31),(AY31+AZ31)/BA31," - ")</f>
        <v>2.4774914950288776</v>
      </c>
      <c r="BH31" s="225">
        <f>SUBTOTAL(9,BH9:BH30)</f>
        <v>58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KLFXKjpfXgR4wZzBbGXBRZPmvwovjsd1auMk7GG7fK+JjHIVcC5ak+cDjISvI/bWODUvSJm4yXTf3ppWIuPVA==" saltValue="xMSw1K9u3d9+bxtu+08Xr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E5ZX3g6wqpfeRXShgmYoOglACgjwDOY5rJZHc9L5c1RfY25UqW67AXuoK2Wmcdxa6yn7ypCQFBWKYSBqwFujA==" saltValue="+xGFQHgj1rBCbqZ6aKqlq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SEVILLA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24</v>
      </c>
      <c r="B9" s="745" t="s">
        <v>321</v>
      </c>
      <c r="C9" s="765" t="str">
        <f>Datos!A9</f>
        <v xml:space="preserve">Jdos. 1ª Instancia   </v>
      </c>
      <c r="D9" s="593"/>
      <c r="E9" s="764">
        <f>IF(ISNUMBER(Datos!AQ9),Datos!AQ9," - ")</f>
        <v>24</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759</v>
      </c>
      <c r="O9" s="549"/>
      <c r="P9" s="549"/>
      <c r="Q9" s="547">
        <f>IF(ISNUMBER(Datos!P9),Datos!P9,0)</f>
        <v>2982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3007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714</v>
      </c>
      <c r="AI9" s="549" t="str">
        <f>IF(ISNUMBER(Datos!CD9),Datos!CD9,"-")</f>
        <v>-</v>
      </c>
      <c r="AJ9" s="549" t="str">
        <f>IF(ISNUMBER(Datos!EN9),Datos!EN9," - ")</f>
        <v xml:space="preserve"> - </v>
      </c>
      <c r="AK9" s="549"/>
      <c r="AL9" s="550"/>
      <c r="AM9" s="766">
        <f>IF(ISNUMBER(Datos!R9),Datos!R9," - ")</f>
        <v>40448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3065</v>
      </c>
      <c r="BD9" s="693">
        <f>IF(ISNUMBER(Datos!N9),Datos!N9," - ")</f>
        <v>5552</v>
      </c>
      <c r="BE9" s="693" t="str">
        <f>IF(ISNUMBER(Datos!BW9),Datos!BW9," - ")</f>
        <v xml:space="preserve"> - </v>
      </c>
      <c r="BF9" s="762" t="str">
        <f>IF(ISNUMBER(Datos!BX9),Datos!BX9," - ")</f>
        <v xml:space="preserve"> - </v>
      </c>
      <c r="BG9" s="763">
        <f>IF(ISNUMBER(IF(J_V="SI",Datos!K9/Datos!J9,(Datos!K9+Datos!AA9)/(Datos!J9+Datos!Z9))),IF(J_V="SI",Datos!K9/Datos!J9,(Datos!K9+Datos!AA9)/(Datos!J9+Datos!Z9))," - ")</f>
        <v>1.055699063609945</v>
      </c>
      <c r="BH9" s="764">
        <f>IF(ISNUMBER(((IF(J_V="SI",Datos!L9/Datos!K9,(Datos!L9+Datos!AB9)/(Datos!K9+Datos!AA9)))*11)/factor_trimestre),((IF(J_V="SI",Datos!L9/Datos!K9,(Datos!L9+Datos!AB9)/(Datos!K9+Datos!AA9)))*11)/factor_trimestre," - ")</f>
        <v>9.2867410919100788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-6.1769574778247226E-4</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4</v>
      </c>
      <c r="B10" s="746" t="s">
        <v>321</v>
      </c>
      <c r="C10" s="747" t="str">
        <f>Datos!A10</f>
        <v>Jdos. Violencia contra la mujer</v>
      </c>
      <c r="D10" s="601"/>
      <c r="E10" s="764">
        <f>IF(ISNUMBER(Datos!AQ10),Datos!AQ10," - ")</f>
        <v>4</v>
      </c>
      <c r="F10" s="552">
        <f>IF(ISNUMBER(Datos!L10+Datos!K10-Datos!J10),Datos!L10+Datos!K10-Datos!J10," - ")</f>
        <v>342</v>
      </c>
      <c r="G10" s="543">
        <f>IF(ISNUMBER(Datos!I10),Datos!I10," - ")</f>
        <v>342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192</v>
      </c>
      <c r="AC10" s="547">
        <f>IF(ISNUMBER(Datos!Q10),Datos!Q10," - ")</f>
        <v>46</v>
      </c>
      <c r="AD10" s="549"/>
      <c r="AE10" s="563"/>
      <c r="AF10" s="551">
        <f>IF(ISNUMBER(Datos!L10),Datos!L10,"-")</f>
        <v>331</v>
      </c>
      <c r="AG10" s="549"/>
      <c r="AH10" s="549"/>
      <c r="AI10" s="549"/>
      <c r="AJ10" s="549"/>
      <c r="AK10" s="549"/>
      <c r="AL10" s="550"/>
      <c r="AM10" s="766">
        <f>IF(ISNUMBER(Datos!R10),Datos!R10," - ")</f>
        <v>320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69</v>
      </c>
      <c r="BD10" s="693">
        <f>IF(ISNUMBER(Datos!N10),Datos!N10," - ")</f>
        <v>86</v>
      </c>
      <c r="BE10" s="693" t="str">
        <f>IF(ISNUMBER(Datos!BW10),Datos!BW10," - ")</f>
        <v xml:space="preserve"> - </v>
      </c>
      <c r="BF10" s="762" t="str">
        <f>IF(ISNUMBER(Datos!BX10),Datos!BX10," - ")</f>
        <v xml:space="preserve"> - </v>
      </c>
      <c r="BG10" s="763">
        <f>IF(ISNUMBER(Datos!K10/Datos!J10),Datos!K10/Datos!J10," - ")</f>
        <v>1.0607734806629834</v>
      </c>
      <c r="BH10" s="764">
        <f>IF(ISNUMBER(((Datos!L10/Datos!K10)*11)/factor_trimestre),((Datos!L10/Datos!K10)*11)/factor_trimestre," - ")</f>
        <v>5.171875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-3.614457831325301E-2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6</v>
      </c>
      <c r="B11" s="746" t="s">
        <v>321</v>
      </c>
      <c r="C11" s="747" t="str">
        <f>Datos!A11</f>
        <v xml:space="preserve">Jdos. Familia                                   </v>
      </c>
      <c r="D11" s="601"/>
      <c r="E11" s="764">
        <f>IF(ISNUMBER(Datos!AQ11),Datos!AQ11," - ")</f>
        <v>6</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1034</v>
      </c>
      <c r="O11" s="549"/>
      <c r="P11" s="549"/>
      <c r="Q11" s="547">
        <f>IF(ISNUMBER(Datos!P11),Datos!P11,0)</f>
        <v>234</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287</v>
      </c>
      <c r="AD11" s="549"/>
      <c r="AE11" s="563"/>
      <c r="AF11" s="551" t="str">
        <f>IF(ISNUMBER(IF(J_V="SI",Datos!L11,Datos!L11+Datos!AB11)-IF(Monitorios="SI",Datos!CD11,0)),
                          IF(J_V="SI",Datos!L11,Datos!L11+Datos!AB11)-IF(Monitorios="SI",Datos!CD11,0),
                          " - ")</f>
        <v xml:space="preserve"> - </v>
      </c>
      <c r="AG11" s="549"/>
      <c r="AH11" s="549">
        <f>IF(ISNUMBER(Datos!AB11),Datos!AB11,"-")</f>
        <v>529</v>
      </c>
      <c r="AI11" s="549"/>
      <c r="AJ11" s="549"/>
      <c r="AK11" s="549"/>
      <c r="AL11" s="550"/>
      <c r="AM11" s="766">
        <f>IF(ISNUMBER(Datos!R11),Datos!R11," - ")</f>
        <v>2251</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928</v>
      </c>
      <c r="BD11" s="693">
        <f>IF(ISNUMBER(Datos!N11),Datos!N11," - ")</f>
        <v>1446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1.0620842572062084</v>
      </c>
      <c r="BH11" s="764">
        <f>IF(ISNUMBER(((IF(J_V="SI",Datos!L11/Datos!K11,(Datos!L11+Datos!AB11)/(Datos!K11+Datos!AA11)))*11)/factor_trimestre),((IF(J_V="SI",Datos!L11/Datos!K11,(Datos!L11+Datos!AB11)/(Datos!K11+Datos!AA11)))*11)/factor_trimestre," - ")</f>
        <v>3.0354906054279756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-2.3003472222222224E-2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34</v>
      </c>
      <c r="F14" s="1197">
        <f t="shared" si="1"/>
        <v>342</v>
      </c>
      <c r="G14" s="1197">
        <f t="shared" si="1"/>
        <v>342</v>
      </c>
      <c r="H14" s="1198">
        <f t="shared" si="1"/>
        <v>0</v>
      </c>
      <c r="I14" s="1197">
        <f t="shared" si="1"/>
        <v>0</v>
      </c>
      <c r="J14" s="1164">
        <f t="shared" si="1"/>
        <v>0</v>
      </c>
      <c r="K14" s="1164">
        <f t="shared" si="1"/>
        <v>0</v>
      </c>
      <c r="L14" s="1198">
        <f t="shared" si="1"/>
        <v>0</v>
      </c>
      <c r="M14" s="1198">
        <f t="shared" si="1"/>
        <v>0</v>
      </c>
      <c r="N14" s="1198">
        <f t="shared" si="1"/>
        <v>1793</v>
      </c>
      <c r="O14" s="1199">
        <f t="shared" si="1"/>
        <v>0</v>
      </c>
      <c r="P14" s="1199">
        <f t="shared" si="1"/>
        <v>0</v>
      </c>
      <c r="Q14" s="1198">
        <f t="shared" si="1"/>
        <v>3250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192</v>
      </c>
      <c r="AC14" s="1198">
        <f t="shared" si="2"/>
        <v>3340</v>
      </c>
      <c r="AD14" s="1198">
        <f t="shared" si="2"/>
        <v>0</v>
      </c>
      <c r="AE14" s="1198">
        <f t="shared" si="2"/>
        <v>0</v>
      </c>
      <c r="AF14" s="1198">
        <f t="shared" si="2"/>
        <v>331</v>
      </c>
      <c r="AG14" s="1198">
        <f t="shared" si="2"/>
        <v>0</v>
      </c>
      <c r="AH14" s="1198">
        <f t="shared" si="2"/>
        <v>1243</v>
      </c>
      <c r="AI14" s="1198">
        <f t="shared" si="2"/>
        <v>0</v>
      </c>
      <c r="AJ14" s="1198">
        <f t="shared" si="2"/>
        <v>0</v>
      </c>
      <c r="AK14" s="1198">
        <f t="shared" si="2"/>
        <v>0</v>
      </c>
      <c r="AL14" s="1198">
        <f t="shared" si="2"/>
        <v>0</v>
      </c>
      <c r="AM14" s="1198">
        <f t="shared" si="2"/>
        <v>43019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4062</v>
      </c>
      <c r="BD14" s="1198">
        <f t="shared" si="2"/>
        <v>7084</v>
      </c>
      <c r="BE14" s="1198">
        <f t="shared" si="2"/>
        <v>0</v>
      </c>
      <c r="BF14" s="1198">
        <f t="shared" si="2"/>
        <v>0</v>
      </c>
      <c r="BG14" s="1198">
        <f>IF(ISNUMBER(Datos!K14/Datos!J14),Datos!K14/Datos!J14," - ")</f>
        <v>1.0682391336596944</v>
      </c>
      <c r="BH14" s="1202">
        <f>IF(ISNUMBER(((Datos!L14/Datos!K14)*11)/factor_trimestre),((Datos!L14/Datos!K14)*11)/factor_trimestre," - ")</f>
        <v>8.8487710040272187</v>
      </c>
      <c r="BI14" s="1198">
        <f>IF(ISNUMBER('Resol  Asuntos'!D14/NºAsuntos!G14),'Resol  Asuntos'!D14/NºAsuntos!G14," - ")</f>
        <v>0.25161050545094155</v>
      </c>
      <c r="BJ14" s="1198" t="str">
        <f>IF(ISNUMBER(Datos!CI14/Datos!CJ14),Datos!CI14/Datos!CJ14," - ")</f>
        <v xml:space="preserve"> - </v>
      </c>
      <c r="BK14" s="1198">
        <f>SUBTOTAL(9,BK8:BK13)</f>
        <v>0</v>
      </c>
      <c r="BL14" s="1198">
        <f>IF(ISNUMBER((I14-AB14+L14)/(F14)),(I14-AB14+L14)/(F14)," - ")</f>
        <v>-0.56140350877192979</v>
      </c>
      <c r="BM14" s="1203">
        <f>SUBTOTAL(9,BM9:BM13)</f>
        <v>-5.9765746283257704E-2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20</v>
      </c>
      <c r="B16" s="737" t="s">
        <v>511</v>
      </c>
      <c r="C16" s="749" t="str">
        <f>Datos!A16</f>
        <v xml:space="preserve">Jdos. Instrucción                               </v>
      </c>
      <c r="D16" s="750"/>
      <c r="E16" s="1555">
        <f>IF(ISNUMBER(Datos!AQ16),Datos!AQ16," - ")</f>
        <v>20</v>
      </c>
      <c r="F16" s="740">
        <f>IF(ISNUMBER(AF16+AB16-Datos!J16-L16),AF16+AB16-Datos!J16-L16," - ")</f>
        <v>9072</v>
      </c>
      <c r="G16" s="743">
        <f>IF(ISNUMBER(IF(D_I="SI",Datos!I16,Datos!I16+Datos!AC16)),IF(D_I="SI",Datos!I16,Datos!I16+Datos!AC16)," - ")</f>
        <v>8654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812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18430</v>
      </c>
      <c r="AC16" s="240">
        <f>IF(ISNUMBER(Datos!Q16),Datos!Q16," - ")</f>
        <v>922</v>
      </c>
      <c r="AD16" s="374"/>
      <c r="AE16" s="562"/>
      <c r="AF16" s="741">
        <f>IF(ISNUMBER(IF(D_I="SI",Datos!L16,Datos!L16+Datos!AF16)),IF(D_I="SI",Datos!L16,Datos!L16+Datos!AF16)," - ")</f>
        <v>8558</v>
      </c>
      <c r="AG16" s="374"/>
      <c r="AH16" s="374"/>
      <c r="AI16" s="374"/>
      <c r="AJ16" s="549"/>
      <c r="AK16" s="374"/>
      <c r="AL16" s="545"/>
      <c r="AM16" s="375">
        <f>IF(ISNUMBER(Datos!R16),Datos!R16," - ")</f>
        <v>1454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2020</v>
      </c>
      <c r="BD16" s="243">
        <f>IF(ISNUMBER(Datos!N16),Datos!N16," - ")</f>
        <v>11491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1.0286894396070552</v>
      </c>
      <c r="BH16" s="764">
        <f>IF(ISNUMBER(((IF(D_I="SI",Datos!L16/Datos!K16,(Datos!L16+Datos!AF16)/(Datos!K16+Datos!AE16)))*11)/factor_trimestre),((IF(D_I="SI",Datos!L16/Datos!K16,(Datos!L16+Datos!AF16)/(Datos!K16+Datos!AE16)))*11)/factor_trimestre," - ")</f>
        <v>1.3930548019533371</v>
      </c>
      <c r="BI16" s="266">
        <f>IF(ISNUMBER('Resol  Asuntos'!D16/NºAsuntos!G16),'Resol  Asuntos'!D16/NºAsuntos!G16," - ")</f>
        <v>0.10960390667390124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4</v>
      </c>
      <c r="B18" s="746" t="s">
        <v>511</v>
      </c>
      <c r="C18" s="747" t="str">
        <f>Datos!A18</f>
        <v>Jdos. Violencia contra la mujer</v>
      </c>
      <c r="D18" s="601"/>
      <c r="E18" s="1380">
        <f>IF(ISNUMBER(Datos!AQ18),Datos!AQ18," - ")</f>
        <v>4</v>
      </c>
      <c r="F18" s="552" t="str">
        <f>IF(ISNUMBER(AF18+AB18-I18-L18),AF18+AB18-I18-L18," - ")</f>
        <v xml:space="preserve"> - </v>
      </c>
      <c r="G18" s="543">
        <f>IF(ISNUMBER(IF(D_I="SI",Datos!I18,Datos!I18+Datos!AC18)),IF(D_I="SI",Datos!I18,Datos!I18+Datos!AC18)," - ")</f>
        <v>753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1704</v>
      </c>
      <c r="AC18" s="547">
        <f>IF(ISNUMBER(Datos!Q18),Datos!Q18," - ")</f>
        <v>21</v>
      </c>
      <c r="AD18" s="549"/>
      <c r="AE18" s="562"/>
      <c r="AF18" s="551">
        <f>IF(ISNUMBER(Datos!L18),Datos!L18,"-")</f>
        <v>757</v>
      </c>
      <c r="AG18" s="549"/>
      <c r="AH18" s="549"/>
      <c r="AI18" s="549"/>
      <c r="AJ18" s="549"/>
      <c r="AK18" s="549"/>
      <c r="AL18" s="550"/>
      <c r="AM18" s="766">
        <f>IF(ISNUMBER(Datos!R18),Datos!R18," - ")</f>
        <v>30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72</v>
      </c>
      <c r="BD18" s="693">
        <f>IF(ISNUMBER(Datos!N18),Datos!N18," - ")</f>
        <v>1179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0.99824253075571179</v>
      </c>
      <c r="BH18" s="764">
        <f>IF(ISNUMBER(((IF(D_I="SI",Datos!L18/Datos!K18,(Datos!L18+Datos!AF18)/(Datos!K18+Datos!AE18)))*11)/factor_trimestre),((IF(D_I="SI",Datos!L18/Datos!K18,(Datos!L18+Datos!AF18)/(Datos!K18+Datos!AE18)))*11)/factor_trimestre," - ")</f>
        <v>1.3327464788732395</v>
      </c>
      <c r="BI18" s="763">
        <f>IF(ISNUMBER('Resol  Asuntos'!D18/NºAsuntos!G18),'Resol  Asuntos'!D18/NºAsuntos!G18," - ")</f>
        <v>4.2253521126760563E-2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24</v>
      </c>
      <c r="F23" s="1197">
        <f>SUBTOTAL(9,F16:F22)</f>
        <v>9072</v>
      </c>
      <c r="G23" s="1197">
        <f>SUBTOTAL(9,G16:G22)</f>
        <v>9407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830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20134</v>
      </c>
      <c r="AC23" s="1198">
        <f t="shared" si="5"/>
        <v>943</v>
      </c>
      <c r="AD23" s="1198">
        <f t="shared" si="5"/>
        <v>0</v>
      </c>
      <c r="AE23" s="1198">
        <f t="shared" si="5"/>
        <v>0</v>
      </c>
      <c r="AF23" s="1198">
        <f t="shared" si="5"/>
        <v>9315</v>
      </c>
      <c r="AG23" s="1198">
        <f t="shared" si="5"/>
        <v>0</v>
      </c>
      <c r="AH23" s="1198">
        <f t="shared" si="5"/>
        <v>0</v>
      </c>
      <c r="AI23" s="1198">
        <f t="shared" si="5"/>
        <v>0</v>
      </c>
      <c r="AJ23" s="1198">
        <f t="shared" si="5"/>
        <v>0</v>
      </c>
      <c r="AK23" s="1198">
        <f t="shared" si="5"/>
        <v>0</v>
      </c>
      <c r="AL23" s="1198">
        <f t="shared" si="5"/>
        <v>0</v>
      </c>
      <c r="AM23" s="1198">
        <f t="shared" si="5"/>
        <v>1484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2092</v>
      </c>
      <c r="BD23" s="1198">
        <f t="shared" si="5"/>
        <v>12670</v>
      </c>
      <c r="BE23" s="1198">
        <f t="shared" si="5"/>
        <v>0</v>
      </c>
      <c r="BF23" s="1198">
        <f t="shared" si="5"/>
        <v>0</v>
      </c>
      <c r="BG23" s="1198">
        <f>IF(ISNUMBER(Datos!K23/Datos!J23),Datos!K23/Datos!J23," - ")</f>
        <v>1.0260408704071753</v>
      </c>
      <c r="BH23" s="1202">
        <f>IF(ISNUMBER(((Datos!L23/Datos!K23)*11)/factor_trimestre),((Datos!L23/Datos!K23)*11)/factor_trimestre," - ")</f>
        <v>1.3879507301082745</v>
      </c>
      <c r="BI23" s="1198">
        <f>SUBTOTAL(9,BI16:BI22)</f>
        <v>0.1518574278006618</v>
      </c>
      <c r="BJ23" s="1198">
        <f>SUBTOTAL(9,BJ16:BJ22)</f>
        <v>0</v>
      </c>
      <c r="BK23" s="1198">
        <f>SUBTOTAL(9,BK16:BK22)</f>
        <v>0</v>
      </c>
      <c r="BL23" s="1198">
        <f>IF(ISNUMBER((I23-AB23+L23)/(F23)),(I23-AB23+L23)/(F23)," - ")</f>
        <v>-2.2193562610229276</v>
      </c>
      <c r="BM23" s="1205">
        <f>IF(ISNUMBER((Datos!P23-Datos!Q23)/(Datos!R23-Datos!P23+Datos!Q23)),(Datos!P23-Datos!Q23)/(Datos!R23-Datos!P23+Datos!Q23)," - ")</f>
        <v>-7.0757670632435821E-2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58</v>
      </c>
      <c r="F31" s="1117">
        <f t="shared" si="18"/>
        <v>9414</v>
      </c>
      <c r="G31" s="1117">
        <f t="shared" si="18"/>
        <v>9749</v>
      </c>
      <c r="H31" s="1119">
        <f t="shared" si="18"/>
        <v>0</v>
      </c>
      <c r="I31" s="1117">
        <f t="shared" si="18"/>
        <v>0</v>
      </c>
      <c r="J31" s="1119">
        <f t="shared" si="18"/>
        <v>0</v>
      </c>
      <c r="K31" s="1119">
        <f t="shared" si="18"/>
        <v>0</v>
      </c>
      <c r="L31" s="1180">
        <f t="shared" si="18"/>
        <v>0</v>
      </c>
      <c r="M31" s="1180">
        <f t="shared" si="18"/>
        <v>0</v>
      </c>
      <c r="N31" s="1180">
        <f t="shared" si="18"/>
        <v>1793</v>
      </c>
      <c r="O31" s="1180">
        <f t="shared" si="18"/>
        <v>0</v>
      </c>
      <c r="P31" s="1180">
        <f t="shared" si="18"/>
        <v>0</v>
      </c>
      <c r="Q31" s="1119">
        <f t="shared" si="18"/>
        <v>4080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20326</v>
      </c>
      <c r="AC31" s="1118">
        <f t="shared" si="19"/>
        <v>4283</v>
      </c>
      <c r="AD31" s="1118">
        <f t="shared" si="19"/>
        <v>0</v>
      </c>
      <c r="AE31" s="1118">
        <f t="shared" si="19"/>
        <v>0</v>
      </c>
      <c r="AF31" s="1125">
        <f t="shared" si="19"/>
        <v>9646</v>
      </c>
      <c r="AG31" s="1125">
        <f t="shared" si="19"/>
        <v>0</v>
      </c>
      <c r="AH31" s="1125">
        <f t="shared" si="19"/>
        <v>1243</v>
      </c>
      <c r="AI31" s="1125">
        <f t="shared" si="19"/>
        <v>0</v>
      </c>
      <c r="AJ31" s="1118">
        <f t="shared" si="19"/>
        <v>0</v>
      </c>
      <c r="AK31" s="1125">
        <f t="shared" si="19"/>
        <v>0</v>
      </c>
      <c r="AL31" s="1125">
        <f t="shared" si="19"/>
        <v>0</v>
      </c>
      <c r="AM31" s="1125">
        <f t="shared" si="19"/>
        <v>44503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6154</v>
      </c>
      <c r="BD31" s="1117">
        <f t="shared" si="19"/>
        <v>19754</v>
      </c>
      <c r="BE31" s="1117">
        <f t="shared" si="19"/>
        <v>0</v>
      </c>
      <c r="BF31" s="1127">
        <f t="shared" si="19"/>
        <v>0</v>
      </c>
      <c r="BG31" s="1223">
        <f>IF(ISNUMBER(Datos!K31/Datos!J31),Datos!K31/Datos!J31," - ")</f>
        <v>1.0432260987766198</v>
      </c>
      <c r="BH31" s="1223">
        <f>IF(ISNUMBER(((Datos!L31/Datos!K31)*11)/factor_trimestre),((Datos!L31/Datos!K31)*11)/factor_trimestre," - ")</f>
        <v>4.4992182070882558</v>
      </c>
      <c r="BI31" s="1103">
        <f>IF(ISNUMBER(Datos!J31/Datos!I31),Datos!J31/Datos!I31," - ")</f>
        <v>0.62908558832471873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-2.1591247078818783</v>
      </c>
      <c r="BM31" s="1188">
        <f>IF(ISNUMBER((Datos!P31-Datos!Q31+R31)/(Datos!R31-Datos!P31+Datos!Q31-R31)),(Datos!P31-Datos!Q31+R31)/(Datos!R31-Datos!P31+Datos!Q31-R31)," - ")</f>
        <v>-4.540777524269673E-3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2785.4285714285716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10.718077858574089</v>
      </c>
      <c r="F33" s="673">
        <f>IF(ISNUMBER(STDEV(F8:F30)),STDEV(F8:F30),"-")</f>
        <v>4599.0005870841114</v>
      </c>
      <c r="G33" s="674">
        <f>IF(ISNUMBER(STDEV(G8:G30)),STDEV(G8:G30),"-")</f>
        <v>4279.2915245845252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9237.0324754425837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1516.1706789731088</v>
      </c>
      <c r="BD33" s="673"/>
      <c r="BE33" s="673">
        <f>IF(ISNUMBER(STDEV(BE8:BE30)),STDEV(BE8:BE30),"-")</f>
        <v>0</v>
      </c>
      <c r="BF33" s="678">
        <f>IF(ISNUMBER(STDEV(BF8:BF30)),STDEV(BF8:BF30),"-")</f>
        <v>0</v>
      </c>
      <c r="BG33" s="1052">
        <f>IF(ISNUMBER(STDEV(BG8:BG30)),STDEV(BG8:BG30),"-")</f>
        <v>2.5735203781154004E-2</v>
      </c>
      <c r="BH33" s="1058">
        <f>IF(ISNUMBER(STDEV(BH8:BH30)),STDEV(BH8:BH30),"-")</f>
        <v>3.5032090034835601</v>
      </c>
      <c r="BI33" s="273">
        <f>IF(ISNUMBER(STDEV(BI8:BI30)),STDEV(BI8:BI30),"-")</f>
        <v>8.7693285718548952E-2</v>
      </c>
      <c r="BJ33" s="244" t="str">
        <f>IF(ISNUMBER(BL33/BM33),BL33/BM33," - ")</f>
        <v xml:space="preserve"> - </v>
      </c>
      <c r="BK33" s="709"/>
      <c r="BL33" s="681">
        <f>IF(ISNUMBER(STDEV(BL8:BL30)),STDEV(BL8:BL30),"-")</f>
        <v>1.1723496340035804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4Er6KC5gCLab34JdKbnrQURb5UrpXp5diZf3iYXNq7d7DXY3eRSlePIkwmsWkYOtTsu+JCYE0syBnk9pyu2Rbw==" saltValue="iMg/kYFHlvW30ytNOGwg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SEVILLA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24</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2982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3007</v>
      </c>
      <c r="AA9" s="551" t="str">
        <f>IF(ISNUMBER(IF(J_V="SI",Datos!L9,Datos!L9+Datos!AB9)-IF(Monitorios="SI",Datos!CD9,0)),
                          IF(J_V="SI",Datos!L9,Datos!L9+Datos!AB9)-IF(Monitorios="SI",Datos!CD9,0),
                          " - ")</f>
        <v xml:space="preserve"> - </v>
      </c>
      <c r="AB9" s="549"/>
      <c r="AC9" s="549"/>
      <c r="AD9" s="563"/>
      <c r="AE9" s="563">
        <f>IF(ISNUMBER(Datos!R9),Datos!R9," - ")</f>
        <v>40448</v>
      </c>
      <c r="AF9" s="693" t="str">
        <f>IF(ISNUMBER(Datos!BV9),Datos!BV9," - ")</f>
        <v xml:space="preserve"> - </v>
      </c>
      <c r="AG9" s="552" t="str">
        <f>IF(ISNUMBER(Datos!DV9),Datos!DV9," - ")</f>
        <v xml:space="preserve"> - </v>
      </c>
      <c r="AH9" s="553"/>
      <c r="AI9" s="554"/>
      <c r="AJ9" s="552">
        <f>IF(ISNUMBER(Datos!M9),Datos!M9," - ")</f>
        <v>3065</v>
      </c>
      <c r="AK9" s="693">
        <f>IF(ISNUMBER(Datos!N9),Datos!N9," - ")</f>
        <v>5552</v>
      </c>
      <c r="AL9" s="693" t="str">
        <f>IF(ISNUMBER(Datos!BW9),Datos!BW9," - ")</f>
        <v xml:space="preserve"> - </v>
      </c>
      <c r="AM9" s="762" t="str">
        <f>IF(ISNUMBER(Datos!BX9),Datos!BX9," - ")</f>
        <v xml:space="preserve"> - </v>
      </c>
      <c r="AN9" s="763"/>
      <c r="AO9" s="764">
        <f>IF(ISNUMBER(((NºAsuntos!I9/NºAsuntos!G9)*11)/factor_trimestre),((NºAsuntos!I9/NºAsuntos!G9)*11)/factor_trimestre," - ")</f>
        <v>9.2867410919100788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-6.1769574778247226E-4</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4</v>
      </c>
      <c r="B10" s="746" t="s">
        <v>321</v>
      </c>
      <c r="C10" s="747" t="str">
        <f>Datos!A10</f>
        <v>Jdos. Violencia contra la mujer</v>
      </c>
      <c r="D10" s="601"/>
      <c r="E10" s="1558">
        <f>IF(ISNUMBER(Datos!AQ10),Datos!AQ10," - ")</f>
        <v>4</v>
      </c>
      <c r="F10" s="552">
        <f>IF(ISNUMBER(Datos!L10+Datos!K10-Datos!J10),Datos!L10+Datos!K10-Datos!J10," - ")</f>
        <v>342</v>
      </c>
      <c r="G10" s="552">
        <f>IF(ISNUMBER(Datos!I10),Datos!I10," - ")</f>
        <v>342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192</v>
      </c>
      <c r="Z10" s="805">
        <f>IF(ISNUMBER(Datos!Q10),Datos!Q10," - ")</f>
        <v>46</v>
      </c>
      <c r="AA10" s="551">
        <f>IF(ISNUMBER(Datos!L10),Datos!L10,"-")</f>
        <v>331</v>
      </c>
      <c r="AB10" s="549"/>
      <c r="AC10" s="549"/>
      <c r="AD10" s="563"/>
      <c r="AE10" s="563">
        <f>IF(ISNUMBER(Datos!R10),Datos!R10," - ")</f>
        <v>320</v>
      </c>
      <c r="AF10" s="693" t="str">
        <f>IF(ISNUMBER(Datos!BV10),Datos!BV10," - ")</f>
        <v xml:space="preserve"> - </v>
      </c>
      <c r="AG10" s="552" t="str">
        <f>IF(ISNUMBER(Datos!DV10),Datos!DV10," - ")</f>
        <v xml:space="preserve"> - </v>
      </c>
      <c r="AH10" s="553"/>
      <c r="AI10" s="554"/>
      <c r="AJ10" s="552">
        <f>IF(ISNUMBER(Datos!M10),Datos!M10," - ")</f>
        <v>69</v>
      </c>
      <c r="AK10" s="693">
        <f>IF(ISNUMBER(Datos!N10),Datos!N10," - ")</f>
        <v>86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5.171875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-3.614457831325301E-2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6</v>
      </c>
      <c r="B11" s="746" t="s">
        <v>321</v>
      </c>
      <c r="C11" s="747" t="str">
        <f>Datos!A11</f>
        <v xml:space="preserve">Jdos. Familia                                   </v>
      </c>
      <c r="D11" s="601"/>
      <c r="E11" s="1558">
        <f>IF(ISNUMBER(Datos!AQ11),Datos!AQ11," - ")</f>
        <v>6</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234</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287</v>
      </c>
      <c r="AA11" s="551" t="str">
        <f>IF(ISNUMBER(IF(J_V="SI",Datos!L11,Datos!L11+Datos!AB11)-IF(Monitorios="SI",Datos!CD11,0)),
                          IF(J_V="SI",Datos!L11,Datos!L11+Datos!AB11)-IF(Monitorios="SI",Datos!CD11,0),
                          " - ")</f>
        <v xml:space="preserve"> - </v>
      </c>
      <c r="AB11" s="549"/>
      <c r="AC11" s="549"/>
      <c r="AD11" s="563"/>
      <c r="AE11" s="563">
        <f>IF(ISNUMBER(Datos!R11),Datos!R11," - ")</f>
        <v>2251</v>
      </c>
      <c r="AF11" s="693" t="str">
        <f>IF(ISNUMBER(Datos!BV11),Datos!BV11," - ")</f>
        <v xml:space="preserve"> - </v>
      </c>
      <c r="AG11" s="552" t="str">
        <f>IF(ISNUMBER(Datos!DV11),Datos!DV11," - ")</f>
        <v xml:space="preserve"> - </v>
      </c>
      <c r="AH11" s="553"/>
      <c r="AI11" s="554"/>
      <c r="AJ11" s="552">
        <f>IF(ISNUMBER(Datos!M11),Datos!M11," - ")</f>
        <v>928</v>
      </c>
      <c r="AK11" s="693">
        <f>IF(ISNUMBER(Datos!N11),Datos!N11," - ")</f>
        <v>1446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3.0354906054279756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-2.3003472222222224E-2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34</v>
      </c>
      <c r="F14" s="1197">
        <f>SUBTOTAL(9,F8:F13)</f>
        <v>342</v>
      </c>
      <c r="G14" s="1197">
        <f>SUBTOTAL(9,G8:G13)</f>
        <v>342</v>
      </c>
      <c r="H14" s="1211"/>
      <c r="I14" s="1197">
        <f t="shared" ref="I14:N14" si="1">SUBTOTAL(9,I8:I13)</f>
        <v>0</v>
      </c>
      <c r="J14" s="1164">
        <f t="shared" si="1"/>
        <v>0</v>
      </c>
      <c r="K14" s="1211">
        <f t="shared" si="1"/>
        <v>0</v>
      </c>
      <c r="L14" s="1211">
        <f t="shared" si="1"/>
        <v>0</v>
      </c>
      <c r="M14" s="1211">
        <f t="shared" si="1"/>
        <v>0</v>
      </c>
      <c r="N14" s="1211">
        <f t="shared" si="1"/>
        <v>3250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192</v>
      </c>
      <c r="Z14" s="1210">
        <f t="shared" si="3"/>
        <v>3340</v>
      </c>
      <c r="AA14" s="1199">
        <f t="shared" si="3"/>
        <v>331</v>
      </c>
      <c r="AB14" s="1199">
        <f t="shared" si="3"/>
        <v>0</v>
      </c>
      <c r="AC14" s="1199">
        <f t="shared" si="3"/>
        <v>0</v>
      </c>
      <c r="AD14" s="1199">
        <f t="shared" si="3"/>
        <v>0</v>
      </c>
      <c r="AE14" s="1199">
        <f t="shared" si="3"/>
        <v>43019</v>
      </c>
      <c r="AF14" s="1211">
        <f t="shared" si="3"/>
        <v>0</v>
      </c>
      <c r="AG14" s="1211">
        <f t="shared" si="3"/>
        <v>0</v>
      </c>
      <c r="AH14" s="1211">
        <f t="shared" si="3"/>
        <v>0</v>
      </c>
      <c r="AI14" s="1211">
        <f t="shared" si="3"/>
        <v>0</v>
      </c>
      <c r="AJ14" s="1211">
        <f t="shared" si="3"/>
        <v>4062</v>
      </c>
      <c r="AK14" s="1211">
        <f t="shared" si="3"/>
        <v>7084</v>
      </c>
      <c r="AL14" s="1211">
        <f t="shared" si="3"/>
        <v>0</v>
      </c>
      <c r="AM14" s="1211">
        <f t="shared" si="3"/>
        <v>0</v>
      </c>
      <c r="AN14" s="1211">
        <f t="shared" si="3"/>
        <v>0</v>
      </c>
      <c r="AO14" s="1203">
        <f>IF(ISNUMBER(((NºAsuntos!I14/NºAsuntos!G14)*11)/factor_trimestre),((NºAsuntos!I14/NºAsuntos!G14)*11)/factor_trimestre," - ")</f>
        <v>8.1249380574826553</v>
      </c>
      <c r="AP14" s="1213" t="str">
        <f>IF(ISNUMBER(Datos!CI14/Datos!CJ14),Datos!CI14/Datos!CJ14," - ")</f>
        <v xml:space="preserve"> - </v>
      </c>
      <c r="AQ14" s="1236">
        <f t="shared" ref="AQ14:AV14" si="4">SUBTOTAL(9,AQ9:AQ13)</f>
        <v>0</v>
      </c>
      <c r="AR14" s="1236">
        <f t="shared" si="4"/>
        <v>-5.9765746283257704E-2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20</v>
      </c>
      <c r="B16" s="746" t="s">
        <v>511</v>
      </c>
      <c r="C16" s="765" t="str">
        <f>Datos!A16</f>
        <v xml:space="preserve">Jdos. Instrucción                               </v>
      </c>
      <c r="D16" s="593"/>
      <c r="E16" s="1558">
        <f>IF(ISNUMBER(Datos!AQ16),Datos!AQ16," - ")</f>
        <v>20</v>
      </c>
      <c r="F16" s="543">
        <f>IF(ISNUMBER(AA16+Y16-Datos!J16-K16),AA16+Y16-Datos!J16-K16," - ")</f>
        <v>9072</v>
      </c>
      <c r="G16" s="552">
        <f>IF(ISNUMBER(IF(D_I="SI",Datos!I16,Datos!I16+Datos!AC16)),IF(D_I="SI",Datos!I16,Datos!I16+Datos!AC16)," - ")</f>
        <v>8654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812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18430</v>
      </c>
      <c r="Z16" s="805">
        <f>IF(ISNUMBER(Datos!Q16),Datos!Q16," - ")</f>
        <v>922</v>
      </c>
      <c r="AA16" s="551">
        <f>IF(ISNUMBER(IF(D_I="SI",Datos!L16,Datos!L16+Datos!AF16)),IF(D_I="SI",Datos!L16,Datos!L16+Datos!AF16)," - ")</f>
        <v>8558</v>
      </c>
      <c r="AB16" s="549"/>
      <c r="AC16" s="549"/>
      <c r="AD16" s="563"/>
      <c r="AE16" s="563">
        <f>IF(ISNUMBER(Datos!R16),Datos!R16," - ")</f>
        <v>1454</v>
      </c>
      <c r="AF16" s="693" t="str">
        <f>IF(ISNUMBER(Datos!BV16),Datos!BV16," - ")</f>
        <v xml:space="preserve"> - </v>
      </c>
      <c r="AG16" s="552"/>
      <c r="AH16" s="553"/>
      <c r="AI16" s="554"/>
      <c r="AJ16" s="552">
        <f>IF(ISNUMBER(Datos!M16),Datos!M16," - ")</f>
        <v>2020</v>
      </c>
      <c r="AK16" s="693">
        <f>IF(ISNUMBER(Datos!N16),Datos!N16," - ")</f>
        <v>11491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1.3930548019533371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4</v>
      </c>
      <c r="B18" s="746" t="s">
        <v>511</v>
      </c>
      <c r="C18" s="747" t="str">
        <f>Datos!A18</f>
        <v>Jdos. Violencia contra la mujer</v>
      </c>
      <c r="D18" s="601"/>
      <c r="E18" s="1558">
        <f>IF(ISNUMBER(Datos!AQ18),Datos!AQ18," - ")</f>
        <v>4</v>
      </c>
      <c r="F18" s="552" t="str">
        <f>IF(ISNUMBER(AA18+Y18-I18-K18),AA18+Y18-I18-K18," - ")</f>
        <v xml:space="preserve"> - </v>
      </c>
      <c r="G18" s="843">
        <f>IF(ISNUMBER(IF(D_I="SI",Datos!I18,Datos!I18+Datos!AC18)),IF(D_I="SI",Datos!I18,Datos!I18+Datos!AC18)," - ")</f>
        <v>753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1704</v>
      </c>
      <c r="Z18" s="805">
        <f>IF(ISNUMBER(Datos!Q18),Datos!Q18," - ")</f>
        <v>21</v>
      </c>
      <c r="AA18" s="551">
        <f>IF(ISNUMBER(Datos!L18),Datos!L18,"-")</f>
        <v>757</v>
      </c>
      <c r="AB18" s="549"/>
      <c r="AC18" s="549"/>
      <c r="AD18" s="563"/>
      <c r="AE18" s="563">
        <f>IF(ISNUMBER(Datos!R18),Datos!R18," - ")</f>
        <v>30</v>
      </c>
      <c r="AF18" s="693" t="str">
        <f>IF(ISNUMBER(Datos!BV18),Datos!BV18," - ")</f>
        <v xml:space="preserve"> - </v>
      </c>
      <c r="AG18" s="552" t="str">
        <f>IF(ISNUMBER(Datos!DV18),Datos!DV18," - ")</f>
        <v xml:space="preserve"> - </v>
      </c>
      <c r="AH18" s="553"/>
      <c r="AI18" s="554"/>
      <c r="AJ18" s="552">
        <f>IF(ISNUMBER(Datos!M18),Datos!M18," - ")</f>
        <v>72</v>
      </c>
      <c r="AK18" s="693">
        <f>IF(ISNUMBER(Datos!N18),Datos!N18," - ")</f>
        <v>1179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1.3327464788732395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24</v>
      </c>
      <c r="F23" s="1197">
        <f>SUBTOTAL(9,F16:F22)</f>
        <v>9072</v>
      </c>
      <c r="G23" s="1197">
        <f>SUBTOTAL(9,G16:G22)</f>
        <v>9407</v>
      </c>
      <c r="H23" s="1240">
        <f>SUBTOTAL(9,H16:H22)</f>
        <v>0</v>
      </c>
      <c r="I23" s="1217">
        <f>SUBTOTAL(9,I16:I22)</f>
        <v>0</v>
      </c>
      <c r="J23" s="1164">
        <f>SUBTOTAL(9,J15:J22)</f>
        <v>0</v>
      </c>
      <c r="K23" s="1240">
        <f t="shared" ref="K23:S23" si="5">SUBTOTAL(9,K16:K22)</f>
        <v>0</v>
      </c>
      <c r="L23" s="1240">
        <f t="shared" si="5"/>
        <v>0</v>
      </c>
      <c r="M23" s="1240">
        <f t="shared" si="5"/>
        <v>0</v>
      </c>
      <c r="N23" s="1240">
        <f t="shared" si="5"/>
        <v>830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20134</v>
      </c>
      <c r="Z23" s="1240">
        <f t="shared" si="6"/>
        <v>943</v>
      </c>
      <c r="AA23" s="1240">
        <f t="shared" si="6"/>
        <v>9315</v>
      </c>
      <c r="AB23" s="1240">
        <f t="shared" si="6"/>
        <v>0</v>
      </c>
      <c r="AC23" s="1240">
        <f t="shared" si="6"/>
        <v>0</v>
      </c>
      <c r="AD23" s="1240">
        <f t="shared" si="6"/>
        <v>0</v>
      </c>
      <c r="AE23" s="1240">
        <f t="shared" si="6"/>
        <v>1484</v>
      </c>
      <c r="AF23" s="1240">
        <f t="shared" si="6"/>
        <v>0</v>
      </c>
      <c r="AG23" s="1240">
        <f t="shared" si="6"/>
        <v>0</v>
      </c>
      <c r="AH23" s="1240">
        <f t="shared" si="6"/>
        <v>0</v>
      </c>
      <c r="AI23" s="1240">
        <f t="shared" si="6"/>
        <v>0</v>
      </c>
      <c r="AJ23" s="1240">
        <f t="shared" si="6"/>
        <v>2092</v>
      </c>
      <c r="AK23" s="1240">
        <f t="shared" si="6"/>
        <v>12670</v>
      </c>
      <c r="AL23" s="1240">
        <f t="shared" si="6"/>
        <v>0</v>
      </c>
      <c r="AM23" s="1240">
        <f t="shared" si="6"/>
        <v>0</v>
      </c>
      <c r="AN23" s="1240">
        <f t="shared" si="6"/>
        <v>0</v>
      </c>
      <c r="AO23" s="1242">
        <f>IF(ISNUMBER(((NºAsuntos!I23/NºAsuntos!G23)*11)/factor_trimestre),((NºAsuntos!I23/NºAsuntos!G23)*11)/factor_trimestre," - ")</f>
        <v>1.3879507301082745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58</v>
      </c>
      <c r="F31" s="1117">
        <f t="shared" si="12"/>
        <v>9414</v>
      </c>
      <c r="G31" s="1117">
        <f t="shared" si="12"/>
        <v>9749</v>
      </c>
      <c r="H31" s="1118">
        <f t="shared" si="12"/>
        <v>0</v>
      </c>
      <c r="I31" s="1117">
        <f t="shared" si="12"/>
        <v>0</v>
      </c>
      <c r="J31" s="1119">
        <f t="shared" si="12"/>
        <v>0</v>
      </c>
      <c r="K31" s="1117">
        <f t="shared" si="12"/>
        <v>0</v>
      </c>
      <c r="L31" s="1120">
        <f t="shared" si="12"/>
        <v>0</v>
      </c>
      <c r="M31" s="1117">
        <f t="shared" si="12"/>
        <v>0</v>
      </c>
      <c r="N31" s="1118">
        <f t="shared" si="12"/>
        <v>4080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20326</v>
      </c>
      <c r="Z31" s="1124">
        <f t="shared" si="13"/>
        <v>4283</v>
      </c>
      <c r="AA31" s="1125">
        <f t="shared" si="13"/>
        <v>9646</v>
      </c>
      <c r="AB31" s="1125">
        <f t="shared" si="13"/>
        <v>0</v>
      </c>
      <c r="AC31" s="1125">
        <f t="shared" si="13"/>
        <v>0</v>
      </c>
      <c r="AD31" s="1126">
        <f t="shared" si="13"/>
        <v>0</v>
      </c>
      <c r="AE31" s="1126">
        <f t="shared" si="13"/>
        <v>44503</v>
      </c>
      <c r="AF31" s="1127">
        <f t="shared" si="13"/>
        <v>0</v>
      </c>
      <c r="AG31" s="1128">
        <f t="shared" si="13"/>
        <v>0</v>
      </c>
      <c r="AH31" s="1129">
        <f t="shared" si="13"/>
        <v>0</v>
      </c>
      <c r="AI31" s="1127">
        <f t="shared" si="13"/>
        <v>0</v>
      </c>
      <c r="AJ31" s="1117">
        <f t="shared" si="13"/>
        <v>6154</v>
      </c>
      <c r="AK31" s="1117">
        <f t="shared" si="13"/>
        <v>19754</v>
      </c>
      <c r="AL31" s="1117">
        <f t="shared" si="13"/>
        <v>0</v>
      </c>
      <c r="AM31" s="1130">
        <f t="shared" si="13"/>
        <v>0</v>
      </c>
      <c r="AN31" s="1120">
        <f>IF(ISNUMBER(Datos!K31/Datos!J31),Datos!K31/Datos!J31," - ")</f>
        <v>1.0432260987766198</v>
      </c>
      <c r="AO31" s="1120">
        <f>IF(ISNUMBER(FIND("06",Criterios!A8,1)),(IF(ISNUMBER(((Datos!R31/Datos!Q31)*11)/factor_trimestre),((Datos!R31/Datos!Q31)*11)/factor_trimestre," - ")),(IF(ISNUMBER(((Datos!L31/Datos!K31)*11)/factor_trimestre),((Datos!L31/Datos!K31)*11)/factor_trimestre," - ")))</f>
        <v>4.4992182070882558</v>
      </c>
      <c r="AP31" s="1131" t="str">
        <f>IF(ISNUMBER(Datos!CI31/Datos!CJ31),Datos!CI31/Datos!CJ31," - ")</f>
        <v xml:space="preserve"> - </v>
      </c>
      <c r="AQ31" s="1131">
        <f>IF(OR(ISNUMBER(FIND("01",Criterios!A8,1)),ISNUMBER(FIND("02",Criterios!A8,1)),ISNUMBER(FIND("03",Criterios!A8,1)),ISNUMBER(FIND("04",Criterios!A8,1))),(J31-Y31+K31)/(F31-K31),(I31-Y31+K31)/(F31-K31))</f>
        <v>-2.1591247078818783</v>
      </c>
      <c r="AR31" s="1131">
        <f>IF(ISNUMBER((Datos!P31-Datos!Q31+O31)/(Datos!R31-Datos!P31+Datos!Q31-O31)),(Datos!P31-Datos!Q31+O31)/(Datos!R31-Datos!P31+Datos!Q31-O31)," - ")</f>
        <v>-4.540777524269673E-3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2785.4285714285716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4599.0005870841114</v>
      </c>
      <c r="G33" s="674">
        <f>IF(ISNUMBER(STDEV(G8:G30)),STDEV(G8:G30),"-")</f>
        <v>4279.2915245845252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1516.1706789731088</v>
      </c>
      <c r="AK33" s="276"/>
      <c r="AL33" s="276">
        <f>IF(ISNUMBER(STDEV(AL8:AL30)),STDEV(AL8:AL30),"-")</f>
        <v>0</v>
      </c>
      <c r="AM33" s="278">
        <f>IF(ISNUMBER(STDEV(AM8:AM30)),STDEV(AM8:AM30),"-")</f>
        <v>0</v>
      </c>
      <c r="AN33" s="660">
        <f>IF(ISNUMBER(STDEV(AN8:AN30)),STDEV(AN8:AN30),"-")</f>
        <v>0</v>
      </c>
      <c r="AO33" s="661">
        <f>IF(ISNUMBER(STDEV(AO8:AO30)),STDEV(AO8:AO30),"-")</f>
        <v>3.3559047482781543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KTvNS4l5j+sbcmEqOYyjWaUGo85v2BYT1d2u2O58+hk/QbNDfDvmDsK92e44yoEWZD9zelwW6FDtScbCHzrhpg==" saltValue="FRAK9nHIrzlAvMC4mNo0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mREjD63GrAtohO+6jNOkJbyR/u3zwGrugPleuX4WxZvwEWRag9+SFmfAxM0KGmq96ecOObdpjAlcgwxxreyrg==" saltValue="Y/Irtohf6PrQ8PRJswLr0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aZWwCXBn9oOzwSITAl1v6KKtZDACEOKxixKxsJbOBd7EGUjTILZw2Tp6TgD70g35xd3v0fp8WenVomtGFoCvg==" saltValue="RKL+pKAJ92p+QCoF2a2Vj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SEVILLA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0.25161050545094155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0.17791549462213554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eKkR+qDwU8pSXE4mIkcdrSjV0ClrNeE43mtHYNBjaIdoRsIJObaLYPcwZs+LDbXy1G64l2croGeD9ttQfcooFg==" saltValue="xNQ3aa+wSuagy5f9isBn2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OF1ei+yTZh3Yb4eRcSn+LCVsVOKEz0seUVBB0SxZx+9mtcFV2m3qlWCHWwLdmq6oJnaK0hwrotRwIekxWbQLQ==" saltValue="QMUr7QwxumNXinqfVCZS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SEVILLA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24</v>
      </c>
      <c r="C9" s="451">
        <f>IF(ISNUMBER(IF(J_V="SI",Datos!I9,Datos!I9+Datos!Y9)),IF(J_V="SI",Datos!I9,Datos!I9+Datos!Y9)," - ")</f>
        <v>40983</v>
      </c>
      <c r="D9" s="452">
        <f>IF(ISNUMBER(C9/Datos!BH9),C9/Datos!BH9," - ")</f>
        <v>1707.625</v>
      </c>
      <c r="E9" s="451">
        <f>IF(ISNUMBER(IF(J_V="SI",Datos!J9,Datos!J9+Datos!Z9)),IF(J_V="SI",Datos!J9,Datos!J9+Datos!Z9)," - ")</f>
        <v>12388</v>
      </c>
      <c r="F9" s="452">
        <f>IF(ISNUMBER(E9/B9),E9/B9," - ")</f>
        <v>516.16666666666663</v>
      </c>
      <c r="G9" s="451">
        <f>IF(ISNUMBER(IF(J_V="SI",Datos!K9,Datos!K9+Datos!AA9)),IF(J_V="SI",Datos!K9,Datos!K9+Datos!AA9)," - ")</f>
        <v>13078</v>
      </c>
      <c r="H9" s="452">
        <f>IF(ISNUMBER(G9/B9),G9/B9," - ")</f>
        <v>544.91666666666663</v>
      </c>
      <c r="I9" s="451">
        <f>IF(ISNUMBER(IF(J_V="SI",Datos!L9,Datos!L9+Datos!AB9)),IF(J_V="SI",Datos!L9,Datos!L9+Datos!AB9)," - ")</f>
        <v>40484</v>
      </c>
      <c r="J9" s="452">
        <f>IF(ISNUMBER(I9/B9),I9/B9," - ")</f>
        <v>1686.8333333333333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4</v>
      </c>
      <c r="C10" s="451">
        <f>IF(ISNUMBER(Datos!I10),Datos!I10," - ")</f>
        <v>342</v>
      </c>
      <c r="D10" s="452">
        <f>IF(ISNUMBER(C10/Datos!BH10),C10/Datos!BH10," - ")</f>
        <v>85.5</v>
      </c>
      <c r="E10" s="451">
        <f>IF(ISNUMBER(Datos!J10),Datos!J10," - ")</f>
        <v>181</v>
      </c>
      <c r="F10" s="452">
        <f>IF(ISNUMBER(E10/B10),E10/B10," - ")</f>
        <v>45.25</v>
      </c>
      <c r="G10" s="451">
        <f>IF(ISNUMBER(Datos!K10),Datos!K10," - ")</f>
        <v>192</v>
      </c>
      <c r="H10" s="452">
        <f>IF(ISNUMBER(G10/B10),G10/B10," - ")</f>
        <v>48</v>
      </c>
      <c r="I10" s="451">
        <f>IF(ISNUMBER(Datos!L10),Datos!L10," - ")</f>
        <v>331</v>
      </c>
      <c r="J10" s="452">
        <f>IF(ISNUMBER(I10/B10),I10/B10," - ")</f>
        <v>82.75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6</v>
      </c>
      <c r="C11" s="451">
        <f>IF(ISNUMBER(IF(J_V="SI",Datos!I11,Datos!I11+Datos!Y11)),IF(J_V="SI",Datos!I11,Datos!I11+Datos!Y11)," - ")</f>
        <v>3075</v>
      </c>
      <c r="D11" s="452">
        <f>IF(ISNUMBER(C11/Datos!BH11),C11/Datos!BH11," - ")</f>
        <v>512.5</v>
      </c>
      <c r="E11" s="451">
        <f>IF(ISNUMBER(IF(J_V="SI",Datos!J11,Datos!J11+Datos!Z11)),IF(J_V="SI",Datos!J11,Datos!J11+Datos!Z11)," - ")</f>
        <v>2706</v>
      </c>
      <c r="F11" s="452">
        <f>IF(ISNUMBER(E11/B11),E11/B11," - ")</f>
        <v>451</v>
      </c>
      <c r="G11" s="451">
        <f>IF(ISNUMBER(IF(J_V="SI",Datos!K11,Datos!K11+Datos!AA11)),IF(J_V="SI",Datos!K11,Datos!K11+Datos!AA11)," - ")</f>
        <v>2874</v>
      </c>
      <c r="H11" s="452">
        <f>IF(ISNUMBER(G11/B11),G11/B11," - ")</f>
        <v>479</v>
      </c>
      <c r="I11" s="451">
        <f>IF(ISNUMBER(IF(J_V="SI",Datos!L11,Datos!L11+Datos!AB11)),IF(J_V="SI",Datos!L11,Datos!L11+Datos!AB11)," - ")</f>
        <v>2908</v>
      </c>
      <c r="J11" s="452">
        <f>IF(ISNUMBER(I11/B11),I11/B11," - ")</f>
        <v>484.66666666666669</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34</v>
      </c>
      <c r="C14" s="1146">
        <f>SUBTOTAL(9,C8:C13)</f>
        <v>44400</v>
      </c>
      <c r="D14" s="1147" t="str">
        <f>IF(ISNUMBER(C14/Datos!BI14),C14/Datos!BI14," - ")</f>
        <v xml:space="preserve"> - </v>
      </c>
      <c r="E14" s="1146">
        <f>SUBTOTAL(9,E8:E13)</f>
        <v>15275</v>
      </c>
      <c r="F14" s="1147">
        <f>IF(ISNUMBER(E14/B14),E14/B14," - ")</f>
        <v>449.26470588235293</v>
      </c>
      <c r="G14" s="1146">
        <f>SUBTOTAL(9,G8:G13)</f>
        <v>16144</v>
      </c>
      <c r="H14" s="1147">
        <f>IF(ISNUMBER(G14/B14),G14/B14," - ")</f>
        <v>474.8235294117647</v>
      </c>
      <c r="I14" s="1146">
        <f>SUBTOTAL(9,I8:I13)</f>
        <v>43723</v>
      </c>
      <c r="J14" s="1147">
        <f>IF(ISNUMBER(I14/B14),I14/B14," - ")</f>
        <v>1285.9705882352941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20</v>
      </c>
      <c r="C16" s="451">
        <f>IF(ISNUMBER(IF(D_I="SI",Datos!I16,Datos!I16+Datos!AC16)),IF(D_I="SI",Datos!I16,Datos!I16+Datos!AC16)," - ")</f>
        <v>8654</v>
      </c>
      <c r="D16" s="452">
        <f>IF(ISNUMBER(C16/Datos!BH16),C16/Datos!BH16," - ")</f>
        <v>432.7</v>
      </c>
      <c r="E16" s="451">
        <f>IF(ISNUMBER(IF(D_I="SI",Datos!J16,Datos!J16+Datos!AD16)),IF(D_I="SI",Datos!J16,Datos!J16+Datos!AD16)," - ")</f>
        <v>17916</v>
      </c>
      <c r="F16" s="452">
        <f>IF(ISNUMBER(E16/B16),E16/B16," - ")</f>
        <v>895.8</v>
      </c>
      <c r="G16" s="451">
        <f>IF(ISNUMBER(IF(D_I="SI",Datos!K16,Datos!K16+Datos!AE16)),IF(D_I="SI",Datos!K16,Datos!K16+Datos!AE16)," - ")</f>
        <v>18430</v>
      </c>
      <c r="H16" s="452">
        <f>IF(ISNUMBER(G16/B16),G16/B16," - ")</f>
        <v>921.5</v>
      </c>
      <c r="I16" s="451">
        <f>IF(ISNUMBER(IF(D_I="SI",Datos!L16,Datos!L16+Datos!AF16)),IF(D_I="SI",Datos!L16,Datos!L16+Datos!AF16)," - ")</f>
        <v>8558</v>
      </c>
      <c r="J16" s="452">
        <f>IF(ISNUMBER(I16/B16),I16/B16," - ")</f>
        <v>427.9</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4</v>
      </c>
      <c r="C18" s="451">
        <f>IF(ISNUMBER(IF(D_I="SI",Datos!I18,Datos!I18+Datos!AC18)),IF(D_I="SI",Datos!I18,Datos!I18+Datos!AC18)," - ")</f>
        <v>753</v>
      </c>
      <c r="D18" s="452">
        <f>IF(ISNUMBER(C18/Datos!BH18),C18/Datos!BH18," - ")</f>
        <v>188.25</v>
      </c>
      <c r="E18" s="451">
        <f>IF(ISNUMBER(IF(D_I="SI",Datos!J18,Datos!J18+Datos!AD18)),IF(D_I="SI",Datos!J18,Datos!J18+Datos!AD18)," - ")</f>
        <v>1707</v>
      </c>
      <c r="F18" s="452">
        <f>IF(ISNUMBER(E18/B18),E18/B18," - ")</f>
        <v>426.75</v>
      </c>
      <c r="G18" s="451">
        <f>IF(ISNUMBER(IF(D_I="SI",Datos!K18,Datos!K18+Datos!AE18)),IF(D_I="SI",Datos!K18,Datos!K18+Datos!AE18)," - ")</f>
        <v>1704</v>
      </c>
      <c r="H18" s="452">
        <f>IF(ISNUMBER(G18/B18),G18/B18," - ")</f>
        <v>426</v>
      </c>
      <c r="I18" s="451">
        <f>IF(ISNUMBER(IF(D_I="SI",Datos!L18,Datos!L18+Datos!AF18)),IF(D_I="SI",Datos!L18,Datos!L18+Datos!AF18)," - ")</f>
        <v>757</v>
      </c>
      <c r="J18" s="452">
        <f>IF(ISNUMBER(I18/B18),I18/B18," - ")</f>
        <v>189.25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24</v>
      </c>
      <c r="C23" s="1146">
        <f>SUBTOTAL(9,C15:C22)</f>
        <v>9407</v>
      </c>
      <c r="D23" s="1147" t="str">
        <f>IF(ISNUMBER(C23/Datos!BI23),C23/Datos!BI23," - ")</f>
        <v xml:space="preserve"> - </v>
      </c>
      <c r="E23" s="1146">
        <f>SUBTOTAL(9,E15:E22)</f>
        <v>19623</v>
      </c>
      <c r="F23" s="1147">
        <f>IF(ISNUMBER(E23/B23),E23/B23," - ")</f>
        <v>817.625</v>
      </c>
      <c r="G23" s="1146">
        <f>SUBTOTAL(9,G15:G22)</f>
        <v>20134</v>
      </c>
      <c r="H23" s="1147">
        <f>IF(ISNUMBER(G23/B23),G23/B23," - ")</f>
        <v>838.91666666666663</v>
      </c>
      <c r="I23" s="1146">
        <f>SUBTOTAL(9,I15:I22)</f>
        <v>9315</v>
      </c>
      <c r="J23" s="1147">
        <f>IF(ISNUMBER(I23/B23),I23/B23," - ")</f>
        <v>388.125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54</v>
      </c>
      <c r="C31" s="1084">
        <f>SUBTOTAL(9,C9:C30)</f>
        <v>53807</v>
      </c>
      <c r="D31" s="1085" t="str">
        <f>IF(ISNUMBER(C31/Datos!BI31),C31/Datos!BI31," - ")</f>
        <v xml:space="preserve"> - </v>
      </c>
      <c r="E31" s="1084">
        <f>SUBTOTAL(9,E9:E30)</f>
        <v>34898</v>
      </c>
      <c r="F31" s="1085">
        <f>IF(ISNUMBER(E31/B31),E31/B31," - ")</f>
        <v>646.25925925925924</v>
      </c>
      <c r="G31" s="1084">
        <f>SUBTOTAL(9,G9:G30)</f>
        <v>36278</v>
      </c>
      <c r="H31" s="1085">
        <f>IF(ISNUMBER(G31/B31),G31/B31," - ")</f>
        <v>671.81481481481478</v>
      </c>
      <c r="I31" s="1084">
        <f>SUBTOTAL(9,I9:I30)</f>
        <v>53038</v>
      </c>
      <c r="J31" s="1085">
        <f>IF(ISNUMBER(I31/B31),I31/B31," - ")</f>
        <v>982.18518518518522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JMfi0s77CWiLBFdm1PtYMjuu7I/3qwUk5Fdj2b8/CRpPkmujesxaIq2f2t7pPpFcSJpFeSs0r1PwKJk4268Zg==" saltValue="cAQ/5M/6esCa/QH4ZvGIn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SEVILLA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24</v>
      </c>
      <c r="B9" s="745" t="s">
        <v>321</v>
      </c>
      <c r="C9" s="765" t="str">
        <f>Datos!A9</f>
        <v xml:space="preserve">Jdos. 1ª Instancia   </v>
      </c>
      <c r="D9" s="593"/>
      <c r="E9" s="904">
        <f>IF(ISNUMBER(Datos!AQ9),Datos!AQ9," - ")</f>
        <v>24</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4</v>
      </c>
      <c r="B10" s="746" t="s">
        <v>321</v>
      </c>
      <c r="C10" s="747" t="str">
        <f>Datos!A10</f>
        <v>Jdos. Violencia contra la mujer</v>
      </c>
      <c r="D10" s="601"/>
      <c r="E10" s="904">
        <f>IF(ISNUMBER(Datos!AQ10),Datos!AQ10," - ")</f>
        <v>4</v>
      </c>
      <c r="F10" s="905">
        <f>IF(ISNUMBER(Datos!L10+Datos!K10-Datos!J10),Datos!L10+Datos!K10-Datos!J10," - ")</f>
        <v>342</v>
      </c>
      <c r="G10" s="906">
        <f>IF(ISNUMBER(Datos!I10),Datos!I10," - ")</f>
        <v>342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192</v>
      </c>
      <c r="AC10" s="905" t="str">
        <f>IF(ISNUMBER(IF(D_I="SI",DatosP!K18,DatosP!K18+DatosP!AE18)),IF(D_I="SI",DatosP!K18,DatosP!K18+DatosP!AE18)," - ")</f>
        <v xml:space="preserve"> - </v>
      </c>
      <c r="AD10" s="907"/>
      <c r="AE10" s="907"/>
      <c r="AF10" s="910">
        <f>IF(ISNUMBER(Datos!L10),Datos!L10,"-")</f>
        <v>331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69</v>
      </c>
      <c r="AM10" s="914">
        <f>IF(ISNUMBER(Datos!N10+DatosP!N18),Datos!N10+DatosP!N18," - ")</f>
        <v>86</v>
      </c>
      <c r="AN10" s="914">
        <f>IF(ISNUMBER(Datos!BW10+DatosP!BW18),Datos!BW10+DatosP!BW18," - ")</f>
        <v>0</v>
      </c>
      <c r="AO10" s="915">
        <f>IF(ISNUMBER(Datos!BX10+DatosP!BX18),Datos!BX10+DatosP!BX18," - ")</f>
        <v>0</v>
      </c>
      <c r="AP10" s="917">
        <f>IF(ISNUMBER(((Datos!L10/Datos!K10)*11)/factor_trimestre),((Datos!L10/Datos!K10)*11)/factor_trimestre," - ")</f>
        <v>5.171875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6</v>
      </c>
      <c r="B11" s="746" t="s">
        <v>321</v>
      </c>
      <c r="C11" s="747" t="str">
        <f>Datos!A11</f>
        <v xml:space="preserve">Jdos. Familia                                   </v>
      </c>
      <c r="D11" s="601"/>
      <c r="E11" s="904">
        <f>IF(ISNUMBER(Datos!AQ11),Datos!AQ11," - ")</f>
        <v>6</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34</v>
      </c>
      <c r="F14" s="1256">
        <f t="shared" si="0"/>
        <v>342</v>
      </c>
      <c r="G14" s="1256">
        <f t="shared" si="0"/>
        <v>342</v>
      </c>
      <c r="H14" s="1256">
        <f t="shared" si="0"/>
        <v>0</v>
      </c>
      <c r="I14" s="1258">
        <f t="shared" si="0"/>
        <v>0</v>
      </c>
      <c r="J14" s="1257">
        <f t="shared" si="0"/>
        <v>0</v>
      </c>
      <c r="K14" s="1257">
        <f t="shared" si="0"/>
        <v>0</v>
      </c>
      <c r="L14" s="1259">
        <f t="shared" si="0"/>
        <v>0</v>
      </c>
      <c r="M14" s="1259">
        <f t="shared" si="0"/>
        <v>0</v>
      </c>
      <c r="N14" s="1257">
        <f t="shared" si="0"/>
        <v>34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192</v>
      </c>
      <c r="AC14" s="1257">
        <f t="shared" si="1"/>
        <v>0</v>
      </c>
      <c r="AD14" s="1257">
        <f t="shared" si="1"/>
        <v>0</v>
      </c>
      <c r="AE14" s="1257">
        <f t="shared" si="1"/>
        <v>0</v>
      </c>
      <c r="AF14" s="1257">
        <f t="shared" si="1"/>
        <v>331</v>
      </c>
      <c r="AG14" s="1257">
        <f t="shared" si="1"/>
        <v>0</v>
      </c>
      <c r="AH14" s="1257">
        <f t="shared" si="1"/>
        <v>0</v>
      </c>
      <c r="AI14" s="1257">
        <f t="shared" si="1"/>
        <v>0</v>
      </c>
      <c r="AJ14" s="1257">
        <f t="shared" si="1"/>
        <v>0</v>
      </c>
      <c r="AK14" s="1257">
        <f t="shared" si="1"/>
        <v>0</v>
      </c>
      <c r="AL14" s="1257">
        <f t="shared" si="1"/>
        <v>69</v>
      </c>
      <c r="AM14" s="1257">
        <f t="shared" si="1"/>
        <v>86</v>
      </c>
      <c r="AN14" s="1257">
        <f t="shared" si="1"/>
        <v>0</v>
      </c>
      <c r="AO14" s="1257">
        <f t="shared" si="1"/>
        <v>0</v>
      </c>
      <c r="AP14" s="1262">
        <f>IF(ISNUMBER(((Datos!L14/Datos!K14)*11)/factor_trimestre),((Datos!L14/Datos!K14)*11)/factor_trimestre," - ")</f>
        <v>8.8487710040272187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-0.56140350877192979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20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4</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1.3879507301082745</v>
      </c>
      <c r="AQ23" s="1262">
        <f>IF(ISNUMBER(((Datos!M23/Datos!L23)*11)/factor_trimestre),((Datos!M23/Datos!L23)*11)/factor_trimestre," - ")</f>
        <v>0.67375201288244757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-7.0757670632435821E-2</v>
      </c>
      <c r="AW23" s="1265">
        <f>IF(ISNUMBER((Datos!Q23-Datos!R23)/(Datos!S23-Datos!Q23+Datos!R23)),(Datos!Q23-Datos!R23)/(Datos!S23-Datos!Q23+Datos!R23)," - ")</f>
        <v>-4.9388351287201024E-2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34</v>
      </c>
      <c r="F31" s="1278">
        <f t="shared" si="8"/>
        <v>342</v>
      </c>
      <c r="G31" s="1278">
        <f t="shared" si="8"/>
        <v>342</v>
      </c>
      <c r="H31" s="1278">
        <f t="shared" si="8"/>
        <v>0</v>
      </c>
      <c r="I31" s="1279">
        <f t="shared" si="8"/>
        <v>0</v>
      </c>
      <c r="J31" s="1280">
        <f t="shared" si="8"/>
        <v>0</v>
      </c>
      <c r="K31" s="1280">
        <f t="shared" si="8"/>
        <v>0</v>
      </c>
      <c r="L31" s="1280">
        <f t="shared" si="8"/>
        <v>0</v>
      </c>
      <c r="M31" s="1280">
        <f t="shared" si="8"/>
        <v>0</v>
      </c>
      <c r="N31" s="1279">
        <f t="shared" si="8"/>
        <v>34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192</v>
      </c>
      <c r="AC31" s="1284">
        <f t="shared" si="9"/>
        <v>0</v>
      </c>
      <c r="AD31" s="1284">
        <f t="shared" si="9"/>
        <v>0</v>
      </c>
      <c r="AE31" s="1284">
        <f t="shared" si="9"/>
        <v>0</v>
      </c>
      <c r="AF31" s="1285">
        <f t="shared" si="9"/>
        <v>331</v>
      </c>
      <c r="AG31" s="1285">
        <f t="shared" si="9"/>
        <v>0</v>
      </c>
      <c r="AH31" s="1285">
        <f t="shared" si="9"/>
        <v>0</v>
      </c>
      <c r="AI31" s="1285">
        <f t="shared" si="9"/>
        <v>0</v>
      </c>
      <c r="AJ31" s="1286">
        <f t="shared" si="9"/>
        <v>0</v>
      </c>
      <c r="AK31" s="1286">
        <f t="shared" si="9"/>
        <v>0</v>
      </c>
      <c r="AL31" s="1278">
        <f t="shared" si="9"/>
        <v>69</v>
      </c>
      <c r="AM31" s="1278">
        <f t="shared" si="9"/>
        <v>86</v>
      </c>
      <c r="AN31" s="1278">
        <f t="shared" si="9"/>
        <v>0</v>
      </c>
      <c r="AO31" s="1278">
        <f t="shared" si="9"/>
        <v>0</v>
      </c>
      <c r="AP31" s="1278">
        <f>IF(ISNUMBER(((Datos!L31/Datos!K31)*11)/factor_trimestre),((Datos!L31/Datos!K31)*11)/factor_trimestre," - ")</f>
        <v>4.4992182070882558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-0.56140350877192979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-4.540777524269673E-3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136.80000000000001</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12.600705447623866</v>
      </c>
      <c r="F33" s="1006">
        <f>IF(ISNUMBER(STDEV(F8:F30)),STDEV(F8:F30),"-")</f>
        <v>187.32111466676679</v>
      </c>
      <c r="G33" s="1007">
        <f>IF(ISNUMBER(STDEV(G8:G30)),STDEV(G8:G30),"-")</f>
        <v>187.32111466676679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105.1627310409919</v>
      </c>
      <c r="AC33" s="1008">
        <f>IF(ISNUMBER(STDEV(AC8:AC30)),STDEV(AC8:AC30),"-")</f>
        <v>0</v>
      </c>
      <c r="AD33" s="1011"/>
      <c r="AE33" s="1011"/>
      <c r="AF33" s="1011"/>
      <c r="AG33" s="1011"/>
      <c r="AH33" s="1011"/>
      <c r="AI33" s="1011"/>
      <c r="AJ33" s="1012">
        <f>IF(ISNUMBER(STDEV(AJ8:AJ30)),STDEV(AJ8:AJ30),"-")</f>
        <v>0</v>
      </c>
      <c r="AK33" s="1014"/>
      <c r="AL33" s="1006">
        <f>IF(ISNUMBER(STDEV(AL8:AL30)),STDEV(AL8:AL30),"-")</f>
        <v>37.79285646785646</v>
      </c>
      <c r="AM33" s="1006"/>
      <c r="AN33" s="1006">
        <f>IF(ISNUMBER(STDEV(AN8:AN30)),STDEV(AN8:AN30),"-")</f>
        <v>0</v>
      </c>
      <c r="AO33" s="1012">
        <f>IF(ISNUMBER(STDEV(AO8:AO30)),STDEV(AO8:AO30),"-")</f>
        <v>0</v>
      </c>
      <c r="AP33" s="1065">
        <f>IF(ISNUMBER(STDEV(AP8:AP30)),STDEV(AP8:AP30),"-")</f>
        <v>3.7305380814842901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uheCby7Bl08MztxB02ZGeebL0dr5FyWsGPItYVjDctS/aQML0PeQU9wb689gzXaaSKVl3r2MgsEEvjL9lcorqw==" saltValue="OmH6TSG1+vC2Z6jmYtwf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SEVILLA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24</v>
      </c>
      <c r="D9" s="451">
        <f>Datos!BK9</f>
        <v>0</v>
      </c>
      <c r="E9" s="451">
        <f>Datos!AQ9</f>
        <v>24</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4</v>
      </c>
      <c r="D10" s="451">
        <f>Datos!BK10</f>
        <v>0</v>
      </c>
      <c r="E10" s="451">
        <f>Datos!AQ10</f>
        <v>4</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6</v>
      </c>
      <c r="D11" s="451">
        <f>Datos!BK11</f>
        <v>0</v>
      </c>
      <c r="E11" s="451">
        <f>Datos!AQ11</f>
        <v>6</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20</v>
      </c>
      <c r="D16" s="451">
        <f>Datos!BK16</f>
        <v>0</v>
      </c>
      <c r="E16" s="451">
        <f>Datos!AQ16</f>
        <v>20</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4</v>
      </c>
      <c r="D18" s="451">
        <f>Datos!BK18</f>
        <v>0</v>
      </c>
      <c r="E18" s="451">
        <f>Datos!AQ18</f>
        <v>4</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BEOOkwMbJ9Uzz6m4uG45XLdbCPNwBpA4a9Ml3j0jdIprxDbAAWH4gk9STsLoGOLIdw55r4fFfxHk+PFKed94g==" saltValue="EuvnIkRvV6xsnmUPpnrnF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SEVILLA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24</v>
      </c>
      <c r="C9" s="458">
        <f>Datos!AQ9</f>
        <v>24</v>
      </c>
      <c r="D9" s="451">
        <f>IF(ISNUMBER(Datos!M9),Datos!M9," - ")</f>
        <v>3065</v>
      </c>
      <c r="E9" s="452">
        <f t="shared" ref="E9:E14" si="0">IF(ISNUMBER(D9/B9),D9/B9," - ")</f>
        <v>127.70833333333333</v>
      </c>
      <c r="F9" s="451">
        <f>IF(ISNUMBER(Datos!N9),Datos!N9," - ")</f>
        <v>5552</v>
      </c>
      <c r="G9" s="452">
        <f t="shared" ref="G9:G14" si="1">IF(ISNUMBER(F9/B9),F9/B9," - ")</f>
        <v>231.33333333333334</v>
      </c>
      <c r="H9" s="451">
        <f>IF(ISNUMBER(Datos!O9),Datos!O9," - ")</f>
        <v>6129</v>
      </c>
      <c r="I9" s="452">
        <f>IF(ISNUMBER(H9/B9),H9/B9," - ")</f>
        <v>255.375</v>
      </c>
    </row>
    <row r="10" spans="1:9">
      <c r="A10" s="450" t="str">
        <f>Datos!A10</f>
        <v>Jdos. Violencia contra la mujer</v>
      </c>
      <c r="B10" s="480">
        <f>Datos!AO10</f>
        <v>4</v>
      </c>
      <c r="C10" s="458">
        <f>Datos!AQ10</f>
        <v>4</v>
      </c>
      <c r="D10" s="451">
        <f>IF(ISNUMBER(Datos!M10),Datos!M10," - ")</f>
        <v>69</v>
      </c>
      <c r="E10" s="452">
        <f>IF(ISNUMBER(D10/B10),D10/B10," - ")</f>
        <v>17.25</v>
      </c>
      <c r="F10" s="451">
        <f>IF(ISNUMBER(Datos!N10),Datos!N10," - ")</f>
        <v>86</v>
      </c>
      <c r="G10" s="452">
        <f>IF(ISNUMBER(F10/B10),F10/B10," - ")</f>
        <v>21.5</v>
      </c>
      <c r="H10" s="451">
        <f>IF(ISNUMBER(Datos!O10),Datos!O10," - ")</f>
        <v>60</v>
      </c>
      <c r="I10" s="452">
        <f t="shared" ref="I10:I13" si="2">IF(ISNUMBER(H10/B10),H10/B10," - ")</f>
        <v>15</v>
      </c>
    </row>
    <row r="11" spans="1:9">
      <c r="A11" s="450" t="str">
        <f>Datos!A11</f>
        <v xml:space="preserve">Jdos. Familia                                   </v>
      </c>
      <c r="B11" s="480">
        <f>Datos!AO11</f>
        <v>6</v>
      </c>
      <c r="C11" s="458">
        <f>Datos!AQ11</f>
        <v>6</v>
      </c>
      <c r="D11" s="451">
        <f>IF(ISNUMBER(Datos!M11),Datos!M11," - ")</f>
        <v>928</v>
      </c>
      <c r="E11" s="452">
        <f t="shared" si="0"/>
        <v>154.66666666666666</v>
      </c>
      <c r="F11" s="451">
        <f>IF(ISNUMBER(Datos!N11),Datos!N11," - ")</f>
        <v>1446</v>
      </c>
      <c r="G11" s="452">
        <f t="shared" si="1"/>
        <v>241</v>
      </c>
      <c r="H11" s="451">
        <f>IF(ISNUMBER(Datos!O11),Datos!O11," - ")</f>
        <v>738</v>
      </c>
      <c r="I11" s="452">
        <f t="shared" si="2"/>
        <v>123</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34</v>
      </c>
      <c r="C14" s="1148">
        <f>Datos!AR14</f>
        <v>34</v>
      </c>
      <c r="D14" s="1146">
        <f>SUBTOTAL(9,D9:D13)</f>
        <v>4062</v>
      </c>
      <c r="E14" s="1147">
        <f t="shared" si="0"/>
        <v>119.47058823529412</v>
      </c>
      <c r="F14" s="1146">
        <f>SUBTOTAL(9,F9:F13)</f>
        <v>7084</v>
      </c>
      <c r="G14" s="1147">
        <f t="shared" si="1"/>
        <v>208.35294117647058</v>
      </c>
      <c r="H14" s="1146">
        <f>SUBTOTAL(9,H9:H13)</f>
        <v>6927</v>
      </c>
      <c r="I14" s="1147">
        <f>IF(ISNUMBER(H14/B14),H14/B14," - ")</f>
        <v>203.73529411764707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20</v>
      </c>
      <c r="C16" s="481">
        <f>Datos!AQ16</f>
        <v>20</v>
      </c>
      <c r="D16" s="451">
        <f>IF(ISNUMBER(Datos!M16),Datos!M16," - ")</f>
        <v>2020</v>
      </c>
      <c r="E16" s="452">
        <f t="shared" ref="E16:E23" si="3">IF(ISNUMBER(D16/B16),D16/B16," - ")</f>
        <v>101</v>
      </c>
      <c r="F16" s="451">
        <f>IF(ISNUMBER(Datos!N16),Datos!N16," - ")</f>
        <v>11491</v>
      </c>
      <c r="G16" s="452">
        <f t="shared" ref="G16:G23" si="4">IF(ISNUMBER(F16/B16),F16/B16," - ")</f>
        <v>574.54999999999995</v>
      </c>
      <c r="H16" s="451">
        <f>IF(ISNUMBER(Datos!O16),Datos!O16," - ")</f>
        <v>391</v>
      </c>
      <c r="I16" s="452">
        <f t="shared" ref="I16:I22" si="5">IF(ISNUMBER(H16/B16),H16/B16," - ")</f>
        <v>19.55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4</v>
      </c>
      <c r="C18" s="481">
        <f>Datos!AQ18</f>
        <v>4</v>
      </c>
      <c r="D18" s="451">
        <f>IF(ISNUMBER(Datos!M18),Datos!M18," - ")</f>
        <v>72</v>
      </c>
      <c r="E18" s="452">
        <f>IF(ISNUMBER(D18/B18),D18/B18," - ")</f>
        <v>18</v>
      </c>
      <c r="F18" s="451">
        <f>IF(ISNUMBER(Datos!N18),Datos!N18," - ")</f>
        <v>1179</v>
      </c>
      <c r="G18" s="452">
        <f>IF(ISNUMBER(F18/B18),F18/B18," - ")</f>
        <v>294.75</v>
      </c>
      <c r="H18" s="451">
        <f>IF(ISNUMBER(Datos!O18),Datos!O18," - ")</f>
        <v>12</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24</v>
      </c>
      <c r="C23" s="1148">
        <f>Datos!AR23</f>
        <v>24</v>
      </c>
      <c r="D23" s="1146">
        <f>SUBTOTAL(9,D16:D22)</f>
        <v>2092</v>
      </c>
      <c r="E23" s="1147">
        <f t="shared" si="3"/>
        <v>87.166666666666671</v>
      </c>
      <c r="F23" s="1146">
        <f>SUBTOTAL(9,F16:F22)</f>
        <v>12670</v>
      </c>
      <c r="G23" s="1147">
        <f t="shared" si="4"/>
        <v>527.91666666666663</v>
      </c>
      <c r="H23" s="1146">
        <f>SUBTOTAL(9,H16:H22)</f>
        <v>403</v>
      </c>
      <c r="I23" s="1147">
        <f>IF(ISNUMBER(H23/B23),H23/B23," - ")</f>
        <v>16.791666666666668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54</v>
      </c>
      <c r="C31" s="1084">
        <f>Datos!AR31</f>
        <v>54</v>
      </c>
      <c r="D31" s="1084">
        <f>SUBTOTAL(9,D8:D30)</f>
        <v>6154</v>
      </c>
      <c r="E31" s="1085">
        <f>IF(ISNUMBER(D31/B31),D31/B31," - ")</f>
        <v>113.96296296296296</v>
      </c>
      <c r="F31" s="1084">
        <f>SUBTOTAL(9,F8:F30)</f>
        <v>19754</v>
      </c>
      <c r="G31" s="1085">
        <f>IF(ISNUMBER(F31/B31),F31/B31," - ")</f>
        <v>365.81481481481484</v>
      </c>
      <c r="H31" s="1084">
        <f>SUBTOTAL(9,H8:H30)</f>
        <v>7330</v>
      </c>
      <c r="I31" s="1085">
        <f>IF(ISNUMBER(H31/B31),H31/B31," - ")</f>
        <v>135.74074074074073</v>
      </c>
    </row>
    <row r="34" spans="1:1">
      <c r="A34" s="439" t="str">
        <f>Criterios!A4</f>
        <v>Fecha Informe: 05 may. 2023</v>
      </c>
    </row>
    <row r="39" spans="1:1">
      <c r="A39" s="462"/>
    </row>
  </sheetData>
  <sheetProtection algorithmName="SHA-512" hashValue="G0QKCsnprNCIhk+QLXM5Ew2y/NhEsFWMGJGQqEpgBspoYl6tJzV5/ZJJkgakiR3ahfeJmh8N5UZ3swL/EUs26Q==" saltValue="swMFdXqzFXRB+4EP4Qht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SEVILLA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2982</v>
      </c>
      <c r="C9" s="489">
        <f>IF(ISNUMBER(Datos!Q9),Datos!Q9," - ")</f>
        <v>3007</v>
      </c>
      <c r="D9" s="456">
        <f>IF(ISNUMBER(Datos!R9),Datos!R9," - ")</f>
        <v>40448</v>
      </c>
    </row>
    <row r="10" spans="1:4">
      <c r="A10" s="450" t="str">
        <f>Datos!A10</f>
        <v>Jdos. Violencia contra la mujer</v>
      </c>
      <c r="B10" s="488">
        <f>IF(ISNUMBER(Datos!P10),Datos!P10," - ")</f>
        <v>34</v>
      </c>
      <c r="C10" s="489">
        <f>IF(ISNUMBER(Datos!Q10),Datos!Q10," - ")</f>
        <v>46</v>
      </c>
      <c r="D10" s="456">
        <f>IF(ISNUMBER(Datos!R10),Datos!R10," - ")</f>
        <v>320</v>
      </c>
    </row>
    <row r="11" spans="1:4">
      <c r="A11" s="450" t="str">
        <f>Datos!A11</f>
        <v xml:space="preserve">Jdos. Familia                                   </v>
      </c>
      <c r="B11" s="488">
        <f>IF(ISNUMBER(Datos!P11),Datos!P11," - ")</f>
        <v>234</v>
      </c>
      <c r="C11" s="489">
        <f>IF(ISNUMBER(Datos!Q11),Datos!Q11," - ")</f>
        <v>287</v>
      </c>
      <c r="D11" s="456">
        <f>IF(ISNUMBER(Datos!R11),Datos!R11," - ")</f>
        <v>2251</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3250</v>
      </c>
      <c r="C14" s="1150">
        <f>SUBTOTAL(9,C9:C13)</f>
        <v>3340</v>
      </c>
      <c r="D14" s="1148">
        <f>SUBTOTAL(9,D9:D13)</f>
        <v>43019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812</v>
      </c>
      <c r="C16" s="489">
        <f>IF(ISNUMBER(Datos!Q16),Datos!Q16," - ")</f>
        <v>922</v>
      </c>
      <c r="D16" s="456">
        <f>IF(ISNUMBER(Datos!R16),Datos!R16," - ")</f>
        <v>1454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18</v>
      </c>
      <c r="C18" s="489">
        <f>IF(ISNUMBER(Datos!Q18),Datos!Q18," - ")</f>
        <v>21</v>
      </c>
      <c r="D18" s="456">
        <f>IF(ISNUMBER(Datos!R18),Datos!R18," - ")</f>
        <v>30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830</v>
      </c>
      <c r="C23" s="1150">
        <f>SUBTOTAL(9,C16:C22)</f>
        <v>943</v>
      </c>
      <c r="D23" s="1148">
        <f>SUBTOTAL(9,D16:D22)</f>
        <v>1484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4080</v>
      </c>
      <c r="C31" s="1089">
        <f>SUBTOTAL(9,C8:C30)</f>
        <v>4283</v>
      </c>
      <c r="D31" s="1090">
        <f>SUBTOTAL(9,D8:D30)</f>
        <v>44503</v>
      </c>
    </row>
    <row r="32" spans="1:4" ht="7.5" customHeight="1"/>
    <row r="33" spans="1:1" ht="6" customHeight="1"/>
    <row r="34" spans="1:1">
      <c r="A34" s="439" t="str">
        <f>Criterios!A4</f>
        <v>Fecha Informe: 05 may. 2023</v>
      </c>
    </row>
    <row r="39" spans="1:1">
      <c r="A39" s="462"/>
    </row>
  </sheetData>
  <sheetProtection algorithmName="SHA-512" hashValue="CsxQ9qYhuA5k70VoGYZBKqMAcTj5ryu/yR+oGGQg20bP8Aa/a74lAOuJBJz1pWMeVLNdU3J/B/vnRksNhOp0mA==" saltValue="uJvWq8baQN4a0wqCN7O+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SEVILLA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-8.1860340076618049E-2</v>
      </c>
      <c r="C9" s="515">
        <f>IF(ISNUMBER(
   IF(J_V="SI",(Datos!J9-Datos!T9)/Datos!T9,(Datos!J9+Datos!Z9-(Datos!T9+Datos!AH9))/(Datos!T9+Datos!AH9))
     ),IF(J_V="SI",(Datos!J9-Datos!T9)/Datos!T9,(Datos!J9+Datos!Z9-(Datos!T9+Datos!AH9))/(Datos!T9+Datos!AH9))," - ")</f>
        <v>6.9088840120295862E-3</v>
      </c>
      <c r="D9" s="515">
        <f>IF(ISNUMBER(
   IF(J_V="SI",(Datos!K9-Datos!U9)/Datos!U9,(Datos!K9+Datos!AA9-(Datos!U9+Datos!AI9))/(Datos!U9+Datos!AI9))
     ),IF(J_V="SI",(Datos!K9-Datos!U9)/Datos!U9,(Datos!K9+Datos!AA9-(Datos!U9+Datos!AI9))/(Datos!U9+Datos!AI9))," - ")</f>
        <v>-5.3073636956049525E-2</v>
      </c>
      <c r="E9" s="515">
        <f>IF(ISNUMBER(
   IF(J_V="SI",(Datos!L9-Datos!V9)/Datos!V9,(Datos!L9+Datos!AB9-(Datos!V9+Datos!AJ9))/(Datos!V9+Datos!AJ9))
     ),IF(J_V="SI",(Datos!L9-Datos!V9)/Datos!V9,(Datos!L9+Datos!AB9-(Datos!V9+Datos!AJ9))/(Datos!V9+Datos!AJ9))," - ")</f>
        <v>-5.3050149700598799E-2</v>
      </c>
      <c r="F9" s="515">
        <f>IF(ISNUMBER((Datos!M9-Datos!W9)/Datos!W9),(Datos!M9-Datos!W9)/Datos!W9," - ")</f>
        <v>3.0945173225697949E-2</v>
      </c>
      <c r="G9" s="516">
        <f>IF(ISNUMBER((Datos!N9-Datos!X9)/Datos!X9),(Datos!N9-Datos!X9)/Datos!X9," - ")</f>
        <v>-5.1912568306010931E-2</v>
      </c>
      <c r="H9" s="514">
        <f>IF(ISNUMBER(((NºAsuntos!G9/NºAsuntos!E9)-Datos!BD9)/Datos!BD9),((NºAsuntos!G9/NºAsuntos!E9)-Datos!BD9)/Datos!BD9," - ")</f>
        <v>-5.9570952169056932E-2</v>
      </c>
      <c r="I9" s="515">
        <f>IF(ISNUMBER(((NºAsuntos!I9/NºAsuntos!G9)-Datos!BE9)/Datos!BE9),((NºAsuntos!I9/NºAsuntos!G9)-Datos!BE9)/Datos!BE9," - ")</f>
        <v>2.4803676787752983E-5</v>
      </c>
      <c r="J9" s="521">
        <f>IF(ISNUMBER((('Resol  Asuntos'!D9/NºAsuntos!G9)-Datos!BF9)/Datos!BF9),(('Resol  Asuntos'!D9/NºAsuntos!G9)-Datos!BF9)/Datos!BF9," - ")</f>
        <v>-0.44726978868696188</v>
      </c>
      <c r="K9" s="522">
        <f>IF(ISNUMBER((((NºAsuntos!C9+NºAsuntos!E9)/NºAsuntos!G9)-Datos!BG9)/Datos!BG9),(((NºAsuntos!C9+NºAsuntos!E9)/NºAsuntos!G9)-Datos!BG9)/Datos!BG9," - ")</f>
        <v>-1.0144798443405122E-2</v>
      </c>
    </row>
    <row r="10" spans="1:11">
      <c r="A10" s="450" t="str">
        <f>Datos!A10</f>
        <v>Jdos. Violencia contra la mujer</v>
      </c>
      <c r="B10" s="514">
        <f>IF(ISNUMBER((Datos!I10-Datos!S10)/Datos!S10),(Datos!I10-Datos!S10)/Datos!S10," - ")</f>
        <v>-4.4692737430167599E-2</v>
      </c>
      <c r="C10" s="515">
        <f>IF(ISNUMBER((Datos!J10-Datos!T10)/Datos!T10),(Datos!J10-Datos!T10)/Datos!T10," - ")</f>
        <v>0.19867549668874171</v>
      </c>
      <c r="D10" s="515">
        <f>IF(ISNUMBER((Datos!K10-Datos!U10)/Datos!U10),(Datos!K10-Datos!U10)/Datos!U10," - ")</f>
        <v>-1.5384615384615385E-2</v>
      </c>
      <c r="E10" s="515">
        <f>IF(ISNUMBER((Datos!L10-Datos!V10)/Datos!V10),(Datos!L10-Datos!V10)/Datos!V10," - ")</f>
        <v>5.4140127388535034E-2</v>
      </c>
      <c r="F10" s="515">
        <f>IF(ISNUMBER((Datos!M10-Datos!W10)/Datos!W10),(Datos!M10-Datos!W10)/Datos!W10," - ")</f>
        <v>0.13114754098360656</v>
      </c>
      <c r="G10" s="516">
        <f>IF(ISNUMBER((Datos!N10-Datos!X10)/Datos!X10),(Datos!N10-Datos!X10)/Datos!X10," - ")</f>
        <v>0</v>
      </c>
      <c r="H10" s="514">
        <f>IF(ISNUMBER(((NºAsuntos!G10/NºAsuntos!E10)-Datos!BD10)/Datos!BD10),((NºAsuntos!G10/NºAsuntos!E10)-Datos!BD10)/Datos!BD10," - ")</f>
        <v>-0.17858053548661282</v>
      </c>
      <c r="I10" s="515">
        <f>IF(ISNUMBER(((NºAsuntos!I10/NºAsuntos!G10)-Datos!BE10)/Datos!BE10),((NºAsuntos!I10/NºAsuntos!G10)-Datos!BE10)/Datos!BE10," - ")</f>
        <v>7.0611066878980805E-2</v>
      </c>
      <c r="J10" s="521">
        <f>IF(ISNUMBER((('Resol  Asuntos'!D10/NºAsuntos!G10)-Datos!BF10)/Datos!BF10),(('Resol  Asuntos'!D10/NºAsuntos!G10)-Datos!BF10)/Datos!BF10," - ")</f>
        <v>0.14882172131147542</v>
      </c>
      <c r="K10" s="522">
        <f>IF(ISNUMBER((((NºAsuntos!C10+NºAsuntos!E10)/NºAsuntos!G10)-Datos!BG10)/Datos!BG10),(((NºAsuntos!C10+NºAsuntos!E10)/NºAsuntos!G10)-Datos!BG10)/Datos!BG10," - ")</f>
        <v>4.3559675834970564E-2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-0.14725457570715475</v>
      </c>
      <c r="C11" s="515">
        <f>IF(ISNUMBER(
   IF(J_V="SI",(Datos!J11-Datos!T11)/Datos!T11,(Datos!J11+Datos!Z11-(Datos!T11+Datos!AH11))/(Datos!T11+Datos!AH11))
     ),IF(J_V="SI",(Datos!J11-Datos!T11)/Datos!T11,(Datos!J11+Datos!Z11-(Datos!T11+Datos!AH11))/(Datos!T11+Datos!AH11))," - ")</f>
        <v>-4.6511627906976744E-2</v>
      </c>
      <c r="D11" s="515">
        <f>IF(ISNUMBER(
   IF(J_V="SI",(Datos!K11-Datos!U11)/Datos!U11,(Datos!K11+Datos!AA11-(Datos!U11+Datos!AI11))/(Datos!U11+Datos!AI11))
     ),IF(J_V="SI",(Datos!K11-Datos!U11)/Datos!U11,(Datos!K11+Datos!AA11-(Datos!U11+Datos!AI11))/(Datos!U11+Datos!AI11))," - ")</f>
        <v>-0.10131332082551595</v>
      </c>
      <c r="E11" s="515">
        <f>IF(ISNUMBER(
   IF(J_V="SI",(Datos!L11-Datos!V11)/Datos!V11,(Datos!L11+Datos!AB11-(Datos!V11+Datos!AJ11))/(Datos!V11+Datos!AJ11))
     ),IF(J_V="SI",(Datos!L11-Datos!V11)/Datos!V11,(Datos!L11+Datos!AB11-(Datos!V11+Datos!AJ11))/(Datos!V11+Datos!AJ11))," - ")</f>
        <v>-0.10412815773259396</v>
      </c>
      <c r="F11" s="515">
        <f>IF(ISNUMBER((Datos!M11-Datos!W11)/Datos!W11),(Datos!M11-Datos!W11)/Datos!W11," - ")</f>
        <v>-0.1972318339100346</v>
      </c>
      <c r="G11" s="516">
        <f>IF(ISNUMBER((Datos!N11-Datos!X11)/Datos!X11),(Datos!N11-Datos!X11)/Datos!X11," - ")</f>
        <v>0.15035799522673032</v>
      </c>
      <c r="H11" s="514">
        <f>IF(ISNUMBER(((NºAsuntos!G11/NºAsuntos!E11)-Datos!BD11)/Datos!BD11),((NºAsuntos!G11/NºAsuntos!E11)-Datos!BD11)/Datos!BD11," - ")</f>
        <v>-5.7474946231638825E-2</v>
      </c>
      <c r="I11" s="515">
        <f>IF(ISNUMBER(((NºAsuntos!I11/NºAsuntos!G11)-Datos!BE11)/Datos!BE11),((NºAsuntos!I11/NºAsuntos!G11)-Datos!BE11)/Datos!BE11," - ")</f>
        <v>-3.1321671638257758E-3</v>
      </c>
      <c r="J11" s="521">
        <f>IF(ISNUMBER((('Resol  Asuntos'!D11/NºAsuntos!G11)-Datos!BF11)/Datos!BF11),(('Resol  Asuntos'!D11/NºAsuntos!G11)-Datos!BF11)/Datos!BF11," - ")</f>
        <v>-0.17850600312571099</v>
      </c>
      <c r="K11" s="522">
        <f>IF(ISNUMBER((((NºAsuntos!C11+NºAsuntos!E11)/NºAsuntos!G11)-Datos!BG11)/Datos!BG11),(((NºAsuntos!C11+NºAsuntos!E11)/NºAsuntos!G11)-Datos!BG11)/Datos!BG11," - ")</f>
        <v>-1.7504266725759713E-3</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-8.6438550647106024E-2</v>
      </c>
      <c r="C14" s="1152">
        <f>IF(ISNUMBER(
   IF(J_V="SI",(Datos!J14-Datos!T14)/Datos!T14,(Datos!J14+Datos!Z14-(Datos!T14+Datos!AH14))/(Datos!T14+Datos!AH14))
     ),IF(J_V="SI",(Datos!J14-Datos!T14)/Datos!T14,(Datos!J14+Datos!Z14-(Datos!T14+Datos!AH14))/(Datos!T14+Datos!AH14))," - ")</f>
        <v>-1.1116923881768245E-3</v>
      </c>
      <c r="D14" s="1152">
        <f>IF(ISNUMBER(
   IF(J_V="SI",(Datos!K14-Datos!U14)/Datos!U14,(Datos!K14+Datos!AA14-(Datos!U14+Datos!AI14))/(Datos!U14+Datos!AI14))
     ),IF(J_V="SI",(Datos!K14-Datos!U14)/Datos!U14,(Datos!K14+Datos!AA14-(Datos!U14+Datos!AI14))/(Datos!U14+Datos!AI14))," - ")</f>
        <v>-6.1613578237619156E-2</v>
      </c>
      <c r="E14" s="1152">
        <f>IF(ISNUMBER(
   IF(J_V="SI",(Datos!L14-Datos!V14)/Datos!V14,(Datos!L14+Datos!AB14-(Datos!V14+Datos!AJ14))/(Datos!V14+Datos!AJ14))
     ),IF(J_V="SI",(Datos!L14-Datos!V14)/Datos!V14,(Datos!L14+Datos!AB14-(Datos!V14+Datos!AJ14))/(Datos!V14+Datos!AJ14))," - ")</f>
        <v>-5.5903437553981687E-2</v>
      </c>
      <c r="F14" s="1153">
        <f>IF(ISNUMBER((Datos!M14-Datos!W14)/Datos!W14),(Datos!M14-Datos!W14)/Datos!W14," - ")</f>
        <v>-3.054892601431981E-2</v>
      </c>
      <c r="G14" s="1154">
        <f>IF(ISNUMBER((Datos!N14-Datos!X14)/Datos!X14),(Datos!N14-Datos!X14)/Datos!X14," - ")</f>
        <v>-1.5974440894568689E-2</v>
      </c>
      <c r="H14" s="1154">
        <f>IF(ISNUMBER(((NºAsuntos!G14/NºAsuntos!E14)-Datos!BD14)/Datos!BD14),((NºAsuntos!G14/NºAsuntos!E14)-Datos!BD14)/Datos!BD14," - ")</f>
        <v>-6.0569220190485926E-2</v>
      </c>
      <c r="I14" s="1154">
        <f>IF(ISNUMBER(((NºAsuntos!I14/NºAsuntos!G14)-Datos!BE14)/Datos!BE14),((NºAsuntos!I14/NºAsuntos!G14)-Datos!BE14)/Datos!BE14," - ")</f>
        <v>6.0850632012696571E-3</v>
      </c>
      <c r="J14" s="1154">
        <f>IF(ISNUMBER((('Resol  Asuntos'!D14/NºAsuntos!G14)-Datos!BF14)/Datos!BF14),(('Resol  Asuntos'!D14/NºAsuntos!G14)-Datos!BF14)/Datos!BF14," - ")</f>
        <v>-0.3966117736579316</v>
      </c>
      <c r="K14" s="1154">
        <f>IF(ISNUMBER((((NºAsuntos!C14+NºAsuntos!E14)/NºAsuntos!G14)-Datos!BG14)/Datos!BG14),(((NºAsuntos!C14+NºAsuntos!E14)/NºAsuntos!G14)-Datos!BG14)/Datos!BG14," - ")</f>
        <v>-4.6921430227509385E-3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-0.10153654485049834</v>
      </c>
      <c r="C16" s="515">
        <f>IF(ISNUMBER(
   IF(D_I="SI",(Datos!J16-Datos!T16)/Datos!T16,(Datos!J16+Datos!AD16-(Datos!T16+Datos!AL16))/(Datos!T16+Datos!AL16))
     ),IF(D_I="SI",(Datos!J16-Datos!T16)/Datos!T16,(Datos!J16+Datos!AD16-(Datos!T16+Datos!AL16))/(Datos!T16+Datos!AL16))," - ")</f>
        <v>-1.0439105219552609E-2</v>
      </c>
      <c r="D16" s="515">
        <f>IF(ISNUMBER(
   IF(D_I="SI",(Datos!K16-Datos!U16)/Datos!U16,(Datos!K16+Datos!AE16-(Datos!U16+Datos!AM16))/(Datos!U16+Datos!AM16))
     ),IF(D_I="SI",(Datos!K16-Datos!U16)/Datos!U16,(Datos!K16+Datos!AE16-(Datos!U16+Datos!AM16))/(Datos!U16+Datos!AM16))," - ")</f>
        <v>-3.7999791209938405E-2</v>
      </c>
      <c r="E16" s="515">
        <f>IF(ISNUMBER(
   IF(D_I="SI",(Datos!L16-Datos!V16)/Datos!V16,(Datos!L16+Datos!AF16-(Datos!V16+Datos!AN16))/(Datos!V16+Datos!AN16))
     ),IF(D_I="SI",(Datos!L16-Datos!V16)/Datos!V16,(Datos!L16+Datos!AF16-(Datos!V16+Datos!AN16))/(Datos!V16+Datos!AN16))," - ")</f>
        <v>-6.7146282973621102E-2</v>
      </c>
      <c r="F16" s="515">
        <f>IF(ISNUMBER((Datos!M16-Datos!W16)/Datos!W16),(Datos!M16-Datos!W16)/Datos!W16," - ")</f>
        <v>-1.02890739833415E-2</v>
      </c>
      <c r="G16" s="516">
        <f>IF(ISNUMBER((Datos!N16-Datos!X16)/Datos!X16),(Datos!N16-Datos!X16)/Datos!X16," - ")</f>
        <v>7.8383556871625148E-4</v>
      </c>
      <c r="H16" s="514">
        <f>IF(ISNUMBER(((NºAsuntos!G16/NºAsuntos!E16)-Datos!BD16)/Datos!BD16),((NºAsuntos!G16/NºAsuntos!E16)-Datos!BD16)/Datos!BD16," - ")</f>
        <v>-2.7851429998656738E-2</v>
      </c>
      <c r="I16" s="515">
        <f>IF(ISNUMBER(((NºAsuntos!I16/NºAsuntos!G16)-Datos!BE16)/Datos!BE16),((NºAsuntos!I16/NºAsuntos!G16)-Datos!BE16)/Datos!BE16," - ")</f>
        <v>-3.0297801910397902E-2</v>
      </c>
      <c r="J16" s="521">
        <f>IF(ISNUMBER((('Resol  Asuntos'!D16/NºAsuntos!G16)-Datos!BF16)/Datos!BF16),(('Resol  Asuntos'!D16/NºAsuntos!G16)-Datos!BF16)/Datos!BF16," - ")</f>
        <v>2.8805313110534084E-2</v>
      </c>
      <c r="K16" s="522">
        <f>IF(ISNUMBER((((NºAsuntos!C16+NºAsuntos!E16)/NºAsuntos!G16)-Datos!BG16)/Datos!BG16),(((NºAsuntos!C16+NºAsuntos!E16)/NºAsuntos!G16)-Datos!BG16)/Datos!BG16," - ")</f>
        <v>-4.2348983283043741E-3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-3.5851472471190783E-2</v>
      </c>
      <c r="C18" s="515">
        <f>IF(ISNUMBER(
   IF(D_I="SI",(Datos!J18-Datos!T18)/Datos!T18,(Datos!J18+Datos!AD18-(Datos!T18+Datos!AL18))/(Datos!T18+Datos!AL18))
     ),IF(D_I="SI",(Datos!J18-Datos!T18)/Datos!T18,(Datos!J18+Datos!AD18-(Datos!T18+Datos!AL18))/(Datos!T18+Datos!AL18))," - ")</f>
        <v>0.11350293542074363</v>
      </c>
      <c r="D18" s="515">
        <f>IF(ISNUMBER(
   IF(D_I="SI",(Datos!K18-Datos!U18)/Datos!U18,(Datos!K18+Datos!AE18-(Datos!U18+Datos!AM18))/(Datos!U18+Datos!AM18))
     ),IF(D_I="SI",(Datos!K18-Datos!U18)/Datos!U18,(Datos!K18+Datos!AE18-(Datos!U18+Datos!AM18))/(Datos!U18+Datos!AM18))," - ")</f>
        <v>9.4412331406551059E-2</v>
      </c>
      <c r="E18" s="515">
        <f>IF(ISNUMBER(
   IF(D_I="SI",(Datos!L18-Datos!V18)/Datos!V18,(Datos!L18+Datos!AF18-(Datos!V18+Datos!AN18))/(Datos!V18+Datos!AN18))
     ),IF(D_I="SI",(Datos!L18-Datos!V18)/Datos!V18,(Datos!L18+Datos!AF18-(Datos!V18+Datos!AN18))/(Datos!V18+Datos!AN18))," - ")</f>
        <v>-6.5616797900262466E-3</v>
      </c>
      <c r="F18" s="515">
        <f>IF(ISNUMBER((Datos!M18-Datos!W18)/Datos!W18),(Datos!M18-Datos!W18)/Datos!W18," - ")</f>
        <v>-0.27272727272727271</v>
      </c>
      <c r="G18" s="516">
        <f>IF(ISNUMBER((Datos!N18-Datos!X18)/Datos!X18),(Datos!N18-Datos!X18)/Datos!X18," - ")</f>
        <v>0.23326359832635984</v>
      </c>
      <c r="H18" s="514">
        <f>IF(ISNUMBER(((NºAsuntos!G18/NºAsuntos!E18)-Datos!BD18)/Datos!BD18),((NºAsuntos!G18/NºAsuntos!E18)-Datos!BD18)/Datos!BD18," - ")</f>
        <v>-1.7144637348422496E-2</v>
      </c>
      <c r="I18" s="515">
        <f>IF(ISNUMBER(((NºAsuntos!I18/NºAsuntos!G18)-Datos!BE18)/Datos!BE18),((NºAsuntos!I18/NºAsuntos!G18)-Datos!BE18)/Datos!BE18," - ")</f>
        <v>-9.2263225019407813E-2</v>
      </c>
      <c r="J18" s="521">
        <f>IF(ISNUMBER((('Resol  Asuntos'!D18/NºAsuntos!G18)-Datos!BF18)/Datos!BF18),(('Resol  Asuntos'!D18/NºAsuntos!G18)-Datos!BF18)/Datos!BF18," - ")</f>
        <v>-0.33546734955185659</v>
      </c>
      <c r="K18" s="522">
        <f>IF(ISNUMBER((((NºAsuntos!C18+NºAsuntos!E18)/NºAsuntos!G18)-Datos!BG18)/Datos!BG18),(((NºAsuntos!C18+NºAsuntos!E18)/NºAsuntos!G18)-Datos!BG18)/Datos!BG18," - ")</f>
        <v>-2.8616382825909639E-2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-9.6610006722366276E-2</v>
      </c>
      <c r="C23" s="1152">
        <f>IF(ISNUMBER(
   IF(Criterios!B14="SI",(Datos!J23-Datos!T23)/Datos!T23,(Datos!J23+Datos!AD23-(Datos!T23+Datos!AL23))/(Datos!T23+Datos!AL23))
     ),IF(Criterios!B14="SI",(Datos!J23-Datos!T23)/Datos!T23,(Datos!J23+Datos!AD23-(Datos!T23+Datos!AL23))/(Datos!T23+Datos!AL23))," - ")</f>
        <v>-7.6382523678582336E-4</v>
      </c>
      <c r="D23" s="1152">
        <f>IF(ISNUMBER(
   IF(Criterios!B14="SI",(Datos!K23-Datos!U23)/Datos!U23,(Datos!K23+Datos!AE23-(Datos!U23+Datos!AM23))/(Datos!U23+Datos!AM23))
     ),IF(Criterios!B14="SI",(Datos!K23-Datos!U23)/Datos!U23,(Datos!K23+Datos!AE23-(Datos!U23+Datos!AM23))/(Datos!U23+Datos!AM23))," - ")</f>
        <v>-2.8047308713492636E-2</v>
      </c>
      <c r="E23" s="1152">
        <f>IF(ISNUMBER(
   IF(Criterios!B14="SI",(Datos!L23-Datos!V23)/Datos!V23,(Datos!L23+Datos!AF23-(Datos!V23+Datos!AN23))/(Datos!V23+Datos!AN23))
     ),IF(Criterios!B14="SI",(Datos!L23-Datos!V23)/Datos!V23,(Datos!L23+Datos!AF23-(Datos!V23+Datos!AN23))/(Datos!V23+Datos!AN23))," - ")</f>
        <v>-6.25E-2</v>
      </c>
      <c r="F23" s="1153">
        <f>IF(ISNUMBER((Datos!M23-Datos!W23)/Datos!W23),(Datos!M23-Datos!W23)/Datos!W23," - ")</f>
        <v>-2.2429906542056073E-2</v>
      </c>
      <c r="G23" s="1154">
        <f>IF(ISNUMBER((Datos!N23-Datos!X23)/Datos!X23),(Datos!N23-Datos!X23)/Datos!X23," - ")</f>
        <v>1.8652516481749478E-2</v>
      </c>
      <c r="H23" s="1154">
        <f>IF(ISNUMBER(((NºAsuntos!G23/NºAsuntos!E23)-Datos!BD23)/Datos!BD23),((NºAsuntos!G23/NºAsuntos!E23)-Datos!BD23)/Datos!BD23," - ")</f>
        <v>-2.7304339220076895E-2</v>
      </c>
      <c r="I23" s="1154">
        <f>IF(ISNUMBER(((NºAsuntos!I23/NºAsuntos!G23)-Datos!BE23)/Datos!BE23),((NºAsuntos!I23/NºAsuntos!G23)-Datos!BE23)/Datos!BE23," - ")</f>
        <v>-3.5446880897983535E-2</v>
      </c>
      <c r="J23" s="1154">
        <f>IF(ISNUMBER((('Resol  Asuntos'!D23/NºAsuntos!G23)-Datos!BF23)/Datos!BF23),(('Resol  Asuntos'!D23/NºAsuntos!G23)-Datos!BF23)/Datos!BF23," - ")</f>
        <v>5.7795016380901704E-3</v>
      </c>
      <c r="K23" s="1154">
        <f>IF(ISNUMBER((((NºAsuntos!C23+NºAsuntos!E23)/NºAsuntos!G23)-Datos!BG23)/Datos!BG23),(((NºAsuntos!C23+NºAsuntos!E23)/NºAsuntos!G23)-Datos!BG23)/Datos!BG23," - ")</f>
        <v>-6.0993361052774165E-3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-8.8233300572745449E-2</v>
      </c>
      <c r="C31" s="1092">
        <f>IF(ISNUMBER(
   IF(J_V="SI",(Datos!J31-Datos!T31)/Datos!T31,(Datos!J31+Datos!Z31-(Datos!T31+Datos!AH31))/(Datos!T31+Datos!AH31))
     ),IF(J_V="SI",(Datos!J31-Datos!T31)/Datos!T31,(Datos!J31+Datos!Z31-(Datos!T31+Datos!AH31))/(Datos!T31+Datos!AH31))," - ")</f>
        <v>-9.1611795018608643E-4</v>
      </c>
      <c r="D31" s="1092">
        <f>IF(ISNUMBER(
   IF(J_V="SI",(Datos!K31-Datos!U31)/Datos!U31,(Datos!K31+Datos!AA31-(Datos!U31+Datos!AI31))/(Datos!U31+Datos!AI31))
     ),IF(J_V="SI",(Datos!K31-Datos!U31)/Datos!U31,(Datos!K31+Datos!AA31-(Datos!U31+Datos!AI31))/(Datos!U31+Datos!AI31))," - ")</f>
        <v>-4.3276457712492417E-2</v>
      </c>
      <c r="E31" s="1092">
        <f>IF(ISNUMBER(
   IF(J_V="SI",(Datos!L31-Datos!V31)/Datos!V31,(Datos!L31+Datos!AB31-(Datos!V31+Datos!AJ31))/(Datos!V31+Datos!AJ31))
     ),IF(J_V="SI",(Datos!L31-Datos!V31)/Datos!V31,(Datos!L31+Datos!AB31-(Datos!V31+Datos!AJ31))/(Datos!V31+Datos!AJ31))," - ")</f>
        <v>-5.7068695775849811E-2</v>
      </c>
      <c r="F31" s="1093">
        <f>IF(ISNUMBER((Datos!M31-Datos!W31)/Datos!W31),(Datos!M31-Datos!W31)/Datos!W31," - ")</f>
        <v>-2.7804107424960506E-2</v>
      </c>
      <c r="G31" s="1094">
        <f>IF(ISNUMBER((Datos!N31-Datos!X31)/Datos!X31),(Datos!N31-Datos!X31)/Datos!X31," - ")</f>
        <v>5.9581402454550085E-3</v>
      </c>
      <c r="H31" s="1095">
        <f>IF(ISNUMBER((Tasas!B31-Datos!BD31)/Datos!BD31),(Tasas!B31-Datos!BD31)/Datos!BD31," - ")</f>
        <v>-4.2399182414389308E-2</v>
      </c>
      <c r="I31" s="1096">
        <f>IF(ISNUMBER((Tasas!C31-Datos!BE31)/Datos!BE31),(Tasas!C31-Datos!BE31)/Datos!BE31," - ")</f>
        <v>-1.4416116520327748E-2</v>
      </c>
      <c r="J31" s="1097">
        <f>IF(ISNUMBER((Tasas!D31-Datos!BF31)/Datos!BF31),(Tasas!D31-Datos!BF31)/Datos!BF31," - ")</f>
        <v>-0.30938692325386552</v>
      </c>
      <c r="K31" s="1097">
        <f>IF(ISNUMBER((Tasas!E31-Datos!BG31)/Datos!BG31),(Tasas!E31-Datos!BG31)/Datos!BG31," - ")</f>
        <v>-1.3055817423164537E-2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FnJ0AvblWZsB4mal91d9w9VlSm7DJJsbUAXi3EDdNCZ0DuqrjmEhvWBzz2sSAP3r98Rjh+ux1ayJB39USzGhQ==" saltValue="NMDFkjLg8o+RH+EOoY0Hj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SEVILLA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1.055699063609945</v>
      </c>
      <c r="C9" s="498">
        <f>IF(ISNUMBER(NºAsuntos!I9/NºAsuntos!G9),NºAsuntos!I9/NºAsuntos!G9," - ")</f>
        <v>3.0955803639700261</v>
      </c>
      <c r="D9" s="499">
        <f>IF(ISNUMBER('Resol  Asuntos'!D9/NºAsuntos!G9),'Resol  Asuntos'!D9/NºAsuntos!G9," - ")</f>
        <v>0.23436305245450376</v>
      </c>
      <c r="E9" s="500">
        <f>IF(ISNUMBER((NºAsuntos!C9+NºAsuntos!E9)/NºAsuntos!G9),(NºAsuntos!C9+NºAsuntos!E9)/NºAsuntos!G9," - ")</f>
        <v>4.0809756843554057</v>
      </c>
      <c r="G9" s="523"/>
    </row>
    <row r="10" spans="1:7">
      <c r="A10" s="450" t="str">
        <f>Datos!A10</f>
        <v>Jdos. Violencia contra la mujer</v>
      </c>
      <c r="B10" s="497">
        <f>IF(ISNUMBER(NºAsuntos!G10/NºAsuntos!E10),NºAsuntos!G10/NºAsuntos!E10," - ")</f>
        <v>1.0607734806629834</v>
      </c>
      <c r="C10" s="498">
        <f>IF(ISNUMBER(NºAsuntos!I10/NºAsuntos!G10),NºAsuntos!I10/NºAsuntos!G10," - ")</f>
        <v>1.7239583333333333</v>
      </c>
      <c r="D10" s="499">
        <f>IF(ISNUMBER('Resol  Asuntos'!D10/NºAsuntos!G10),'Resol  Asuntos'!D10/NºAsuntos!G10," - ")</f>
        <v>0.359375</v>
      </c>
      <c r="E10" s="500">
        <f>IF(ISNUMBER((NºAsuntos!C10+NºAsuntos!E10)/NºAsuntos!G10),(NºAsuntos!C10+NºAsuntos!E10)/NºAsuntos!G10," - ")</f>
        <v>2.7239583333333335</v>
      </c>
      <c r="G10" s="523"/>
    </row>
    <row r="11" spans="1:7">
      <c r="A11" s="450" t="str">
        <f>Datos!A11</f>
        <v xml:space="preserve">Jdos. Familia                                   </v>
      </c>
      <c r="B11" s="497">
        <f>IF(ISNUMBER(NºAsuntos!G11/NºAsuntos!E11),NºAsuntos!G11/NºAsuntos!E11," - ")</f>
        <v>1.0620842572062084</v>
      </c>
      <c r="C11" s="498">
        <f>IF(ISNUMBER(NºAsuntos!I11/NºAsuntos!G11),NºAsuntos!I11/NºAsuntos!G11," - ")</f>
        <v>1.011830201809325</v>
      </c>
      <c r="D11" s="499">
        <f>IF(ISNUMBER('Resol  Asuntos'!D11/NºAsuntos!G11),'Resol  Asuntos'!D11/NºAsuntos!G11," - ")</f>
        <v>0.32289491997216424</v>
      </c>
      <c r="E11" s="500">
        <f>IF(ISNUMBER((NºAsuntos!C11+NºAsuntos!E11)/NºAsuntos!G11),(NºAsuntos!C11+NºAsuntos!E11)/NºAsuntos!G11," - ")</f>
        <v>2.0114822546972859</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1.0568903436988544</v>
      </c>
      <c r="C14" s="1156">
        <f>IF(ISNUMBER(NºAsuntos!I14/NºAsuntos!G14),NºAsuntos!I14/NºAsuntos!G14," - ")</f>
        <v>2.7083126858275519</v>
      </c>
      <c r="D14" s="1157">
        <f>IF(ISNUMBER('Resol  Asuntos'!D14/NºAsuntos!G14),'Resol  Asuntos'!D14/NºAsuntos!G14," - ")</f>
        <v>0.25161050545094155</v>
      </c>
      <c r="E14" s="1158">
        <f>IF(ISNUMBER((NºAsuntos!C14+NºAsuntos!E14)/NºAsuntos!G14),(NºAsuntos!C14+NºAsuntos!E14)/NºAsuntos!G14," - ")</f>
        <v>3.6964197224975224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1.0286894396070552</v>
      </c>
      <c r="C16" s="498">
        <f>IF(ISNUMBER(NºAsuntos!I16/NºAsuntos!G16),NºAsuntos!I16/NºAsuntos!G16," - ")</f>
        <v>0.46435160065111231</v>
      </c>
      <c r="D16" s="499">
        <f>IF(ISNUMBER('Resol  Asuntos'!D16/NºAsuntos!G16),'Resol  Asuntos'!D16/NºAsuntos!G16," - ")</f>
        <v>0.10960390667390124</v>
      </c>
      <c r="E16" s="500">
        <f>IF(ISNUMBER((NºAsuntos!C16+NºAsuntos!E16)/NºAsuntos!G16),(NºAsuntos!C16+NºAsuntos!E16)/NºAsuntos!G16," - ")</f>
        <v>1.4416711882799782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0.99824253075571179</v>
      </c>
      <c r="C18" s="498">
        <f>IF(ISNUMBER(NºAsuntos!I18/NºAsuntos!G18),NºAsuntos!I18/NºAsuntos!G18," - ")</f>
        <v>0.44424882629107981</v>
      </c>
      <c r="D18" s="499">
        <f>IF(ISNUMBER('Resol  Asuntos'!D18/NºAsuntos!G18),'Resol  Asuntos'!D18/NºAsuntos!G18," - ")</f>
        <v>4.2253521126760563E-2</v>
      </c>
      <c r="E18" s="500">
        <f>IF(ISNUMBER((NºAsuntos!C18+NºAsuntos!E18)/NºAsuntos!G18),(NºAsuntos!C18+NºAsuntos!E18)/NºAsuntos!G18," - ")</f>
        <v>1.443661971830986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1.0260408704071753</v>
      </c>
      <c r="C23" s="1156">
        <f>IF(ISNUMBER(NºAsuntos!I23/NºAsuntos!G23),NºAsuntos!I23/NºAsuntos!G23," - ")</f>
        <v>0.46265024336942484</v>
      </c>
      <c r="D23" s="1159">
        <f>IF(ISNUMBER('Resol  Asuntos'!D23/NºAsuntos!G23),'Resol  Asuntos'!D23/NºAsuntos!G23," - ")</f>
        <v>0.10390384424356809</v>
      </c>
      <c r="E23" s="1158">
        <f>IF(ISNUMBER((NºAsuntos!C23+NºAsuntos!E23)/NºAsuntos!G23),(NºAsuntos!C23+NºAsuntos!E23)/NºAsuntos!G23," - ")</f>
        <v>1.441839674182974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1.0395438133990487</v>
      </c>
      <c r="C31" s="1099">
        <f>IF(ISNUMBER(NºAsuntos!I31/NºAsuntos!G31),NºAsuntos!I31/NºAsuntos!G31," - ")</f>
        <v>1.4619879816968961</v>
      </c>
      <c r="D31" s="1100">
        <f>IF(ISNUMBER('Resol  Asuntos'!D31/NºAsuntos!G31),'Resol  Asuntos'!D31/NºAsuntos!G31," - ")</f>
        <v>0.1696344892221181</v>
      </c>
      <c r="E31" s="1101">
        <f>IF(ISNUMBER((NºAsuntos!C31+NºAsuntos!E31)/NºAsuntos!G31),(NºAsuntos!C31+NºAsuntos!E31)/NºAsuntos!G31," - ")</f>
        <v>2.4451458184023376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Z17DwZKQaHVn+6q52E3euqcQO+HUurGM9SrC5ajTX/XKtkmM3bzrRVvPAw4rUR0VhyPBOgNLFntXowTlPBWQ==" saltValue="sIWw4l6bPGekVnmxrCxOk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SEVILLA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24</v>
      </c>
      <c r="B9" s="190" t="s">
        <v>321</v>
      </c>
      <c r="C9" s="173" t="str">
        <f>Datos!A9</f>
        <v xml:space="preserve">Jdos. 1ª Instancia   </v>
      </c>
      <c r="D9" s="173"/>
      <c r="E9" s="1402">
        <f>IF(ISNUMBER(Datos!AQ9),Datos!AQ9," - ")</f>
        <v>24</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2982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3007</v>
      </c>
      <c r="Y9" s="374">
        <f>SUM(W9:X9)</f>
        <v>3007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40448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3065</v>
      </c>
      <c r="AJ9" s="243" t="str">
        <f>IF(ISNUMBER(Datos!BW9),Datos!BW9," - ")</f>
        <v xml:space="preserve"> - </v>
      </c>
      <c r="AK9" s="242" t="str">
        <f>IF(ISNUMBER(Datos!BX9),Datos!BX9," - ")</f>
        <v xml:space="preserve"> - </v>
      </c>
      <c r="AL9" s="266">
        <f>IF(ISNUMBER(NºAsuntos!G9/NºAsuntos!E9),NºAsuntos!G9/NºAsuntos!E9," - ")</f>
        <v>1.055699063609945</v>
      </c>
      <c r="AM9" s="284">
        <f>IF(ISNUMBER(((NºAsuntos!I9/NºAsuntos!G9)*11)/factor_trimestre),((NºAsuntos!I9/NºAsuntos!G9)*11)/factor_trimestre," - ")</f>
        <v>9.2867410919100788</v>
      </c>
      <c r="AN9" s="267">
        <f>IF(ISNUMBER('Resol  Asuntos'!D9/NºAsuntos!G9),'Resol  Asuntos'!D9/NºAsuntos!G9," - ")</f>
        <v>0.23436305245450376</v>
      </c>
      <c r="AO9" s="268">
        <f>IF(ISNUMBER((NºAsuntos!C9+NºAsuntos!E9)/NºAsuntos!G9),(NºAsuntos!C9+NºAsuntos!E9)/NºAsuntos!G9," - ")</f>
        <v>4.0809756843554057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4</v>
      </c>
      <c r="B10" s="300" t="s">
        <v>321</v>
      </c>
      <c r="C10" s="7" t="str">
        <f>Datos!A10</f>
        <v>Jdos. Violencia contra la mujer</v>
      </c>
      <c r="D10" s="7"/>
      <c r="E10" s="1402">
        <f>IF(ISNUMBER(Datos!AQ10),Datos!AQ10," - ")</f>
        <v>4</v>
      </c>
      <c r="F10" s="239">
        <f>IF(ISNUMBER(Datos!L10+Datos!K10-Datos!J10-K10),Datos!L10+Datos!K10-Datos!J10-K10," - ")</f>
        <v>342</v>
      </c>
      <c r="G10" s="373">
        <f>IF(ISNUMBER(Datos!I10),Datos!I10," - ")</f>
        <v>342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192</v>
      </c>
      <c r="X10" s="240">
        <f>IF(ISNUMBER(Datos!Q10),Datos!Q10," - ")</f>
        <v>46</v>
      </c>
      <c r="Y10" s="374">
        <f t="shared" ref="Y10:Y13" si="0">SUM(W10:X10)</f>
        <v>238</v>
      </c>
      <c r="Z10" s="375" t="str">
        <f>IF(ISNUMBER(Datos!CC10),Datos!CC10," - ")</f>
        <v xml:space="preserve"> - </v>
      </c>
      <c r="AA10" s="372">
        <f>IF(ISNUMBER(Datos!L10),Datos!L10,"-")</f>
        <v>331</v>
      </c>
      <c r="AB10" s="374">
        <f>IF(ISNUMBER(Datos!R10),Datos!R10," - ")</f>
        <v>320</v>
      </c>
      <c r="AC10" s="374">
        <f t="shared" ref="AC10:AC13" si="1">IF(ISNUMBER(AA10+AB10),AA10+AB10," - ")</f>
        <v>651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69</v>
      </c>
      <c r="AJ10" s="245" t="str">
        <f>IF(ISNUMBER(Datos!BW10),Datos!BW10," - ")</f>
        <v xml:space="preserve"> - </v>
      </c>
      <c r="AK10" s="246" t="str">
        <f>IF(ISNUMBER(Datos!BX10),Datos!BX10," - ")</f>
        <v xml:space="preserve"> - </v>
      </c>
      <c r="AL10" s="266">
        <f>IF(ISNUMBER(NºAsuntos!G10/NºAsuntos!E10),NºAsuntos!G10/NºAsuntos!E10," - ")</f>
        <v>1.0607734806629834</v>
      </c>
      <c r="AM10" s="284">
        <f>IF(ISNUMBER(((NºAsuntos!I10/NºAsuntos!G10)*11)/factor_trimestre),((NºAsuntos!I10/NºAsuntos!G10)*11)/factor_trimestre," - ")</f>
        <v>5.171875</v>
      </c>
      <c r="AN10" s="267">
        <f>IF(ISNUMBER('Resol  Asuntos'!D10/NºAsuntos!G10),'Resol  Asuntos'!D10/NºAsuntos!G10," - ")</f>
        <v>0.359375</v>
      </c>
      <c r="AO10" s="268">
        <f>IF(ISNUMBER((NºAsuntos!C10+NºAsuntos!E10)/NºAsuntos!G10),(NºAsuntos!C10+NºAsuntos!E10)/NºAsuntos!G10," - ")</f>
        <v>2.7239583333333335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6</v>
      </c>
      <c r="B11" s="300" t="s">
        <v>321</v>
      </c>
      <c r="C11" s="7" t="str">
        <f>Datos!A11</f>
        <v xml:space="preserve">Jdos. Familia                                   </v>
      </c>
      <c r="D11" s="7"/>
      <c r="E11" s="1402">
        <f>IF(ISNUMBER(Datos!AQ11),Datos!AQ11," - ")</f>
        <v>6</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234</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287</v>
      </c>
      <c r="Y11" s="374">
        <f t="shared" si="0"/>
        <v>287</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2251</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928</v>
      </c>
      <c r="AJ11" s="245" t="str">
        <f>IF(ISNUMBER(Datos!BW11),Datos!BW11," - ")</f>
        <v xml:space="preserve"> - </v>
      </c>
      <c r="AK11" s="246" t="str">
        <f>IF(ISNUMBER(Datos!BX11),Datos!BX11," - ")</f>
        <v xml:space="preserve"> - </v>
      </c>
      <c r="AL11" s="266">
        <f>IF(ISNUMBER(NºAsuntos!G11/NºAsuntos!E11),NºAsuntos!G11/NºAsuntos!E11," - ")</f>
        <v>1.0620842572062084</v>
      </c>
      <c r="AM11" s="284">
        <f>IF(ISNUMBER(((NºAsuntos!I11/NºAsuntos!G11)*11)/factor_trimestre),((NºAsuntos!I11/NºAsuntos!G11)*11)/factor_trimestre," - ")</f>
        <v>3.0354906054279756</v>
      </c>
      <c r="AN11" s="267">
        <f>IF(ISNUMBER('Resol  Asuntos'!D11/NºAsuntos!G11),'Resol  Asuntos'!D11/NºAsuntos!G11," - ")</f>
        <v>0.32289491997216424</v>
      </c>
      <c r="AO11" s="268">
        <f>IF(ISNUMBER((NºAsuntos!C11+NºAsuntos!E11)/NºAsuntos!G11),(NºAsuntos!C11+NºAsuntos!E11)/NºAsuntos!G11," - ")</f>
        <v>2.0114822546972859</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34</v>
      </c>
      <c r="F14" s="1162">
        <f t="shared" si="5"/>
        <v>342</v>
      </c>
      <c r="G14" s="1163">
        <f t="shared" si="5"/>
        <v>342</v>
      </c>
      <c r="H14" s="1162">
        <f t="shared" si="5"/>
        <v>0</v>
      </c>
      <c r="I14" s="1164">
        <f t="shared" si="5"/>
        <v>0</v>
      </c>
      <c r="J14" s="1164">
        <f t="shared" si="5"/>
        <v>0</v>
      </c>
      <c r="K14" s="1164">
        <f t="shared" si="5"/>
        <v>0</v>
      </c>
      <c r="L14" s="1164">
        <f t="shared" si="5"/>
        <v>3250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192</v>
      </c>
      <c r="X14" s="1164">
        <f t="shared" si="6"/>
        <v>3340</v>
      </c>
      <c r="Y14" s="1165">
        <f t="shared" si="6"/>
        <v>3532</v>
      </c>
      <c r="Z14" s="1165">
        <f t="shared" si="6"/>
        <v>0</v>
      </c>
      <c r="AA14" s="1165">
        <f t="shared" si="6"/>
        <v>331</v>
      </c>
      <c r="AB14" s="1165">
        <f t="shared" si="6"/>
        <v>43019</v>
      </c>
      <c r="AC14" s="1165">
        <f t="shared" si="6"/>
        <v>651</v>
      </c>
      <c r="AD14" s="1165">
        <f t="shared" si="6"/>
        <v>0</v>
      </c>
      <c r="AE14" s="1169">
        <f t="shared" si="6"/>
        <v>0</v>
      </c>
      <c r="AF14" s="1162">
        <f t="shared" si="6"/>
        <v>0</v>
      </c>
      <c r="AG14" s="1170">
        <f t="shared" si="6"/>
        <v>0</v>
      </c>
      <c r="AH14" s="1167">
        <f t="shared" si="6"/>
        <v>0</v>
      </c>
      <c r="AI14" s="1162">
        <f t="shared" si="6"/>
        <v>4062</v>
      </c>
      <c r="AJ14" s="1164">
        <f t="shared" si="6"/>
        <v>0</v>
      </c>
      <c r="AK14" s="1167">
        <f>SUBTOTAL(9,AK9:AK13)</f>
        <v>0</v>
      </c>
      <c r="AL14" s="1171">
        <f>IF(ISNUMBER(NºAsuntos!G14/NºAsuntos!E14),NºAsuntos!G14/NºAsuntos!E14," - ")</f>
        <v>1.0568903436988544</v>
      </c>
      <c r="AM14" s="1171">
        <f>IF(ISNUMBER(((NºAsuntos!I14/NºAsuntos!G14)*11)/factor_trimestre),((NºAsuntos!I14/NºAsuntos!G14)*11)/factor_trimestre," - ")</f>
        <v>8.1249380574826553</v>
      </c>
      <c r="AN14" s="1172">
        <f>IF(ISNUMBER('Resol  Asuntos'!D14/NºAsuntos!G14),'Resol  Asuntos'!D14/NºAsuntos!G14," - ")</f>
        <v>0.25161050545094155</v>
      </c>
      <c r="AO14" s="1173">
        <f>IF(ISNUMBER((NºAsuntos!C14+NºAsuntos!E14)/NºAsuntos!G14),(NºAsuntos!C14+NºAsuntos!E14)/NºAsuntos!G14," - ")</f>
        <v>3.6964197224975224</v>
      </c>
      <c r="AP14" s="1174" t="str">
        <f t="shared" si="2"/>
        <v xml:space="preserve"> - </v>
      </c>
      <c r="AQ14" s="1174">
        <f>IF(ISNUMBER((H14-W14+K14)/(F14)),(H14-W14+K14)/(F14)," - ")</f>
        <v>-0.56140350877192979</v>
      </c>
      <c r="AR14" s="1175">
        <f>IF(ISNUMBER((Datos!P14-Datos!Q14)/(Datos!R14-Datos!P14+Datos!Q14)),(Datos!P14-Datos!Q14)/(Datos!R14-Datos!P14+Datos!Q14)," - ")</f>
        <v>-2.0877311002342898E-3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20</v>
      </c>
      <c r="B16" s="300" t="s">
        <v>511</v>
      </c>
      <c r="C16" s="173" t="str">
        <f>Datos!A16</f>
        <v xml:space="preserve">Jdos. Instrucción                               </v>
      </c>
      <c r="D16" s="173"/>
      <c r="E16" s="1402">
        <f>IF(ISNUMBER(Datos!AQ16),Datos!AQ16," - ")</f>
        <v>20</v>
      </c>
      <c r="F16" s="239">
        <f>IF(ISNUMBER(AA16+W16-Datos!J16-K16),AA16+W16-Datos!J16-K16," - ")</f>
        <v>9072</v>
      </c>
      <c r="G16" s="373">
        <f>IF(ISNUMBER(IF(D_I="SI",Datos!I16,Datos!I16+Datos!AC16)),IF(D_I="SI",Datos!I16,Datos!I16+Datos!AC16)," - ")</f>
        <v>8654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812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18430</v>
      </c>
      <c r="X16" s="240">
        <f>IF(ISNUMBER(Datos!Q16),Datos!Q16," - ")</f>
        <v>922</v>
      </c>
      <c r="Y16" s="374">
        <f>SUM(W16)</f>
        <v>18430</v>
      </c>
      <c r="Z16" s="375" t="str">
        <f>IF(ISNUMBER(Datos!CC16),Datos!CC16," - ")</f>
        <v xml:space="preserve"> - </v>
      </c>
      <c r="AA16" s="372">
        <f>IF(ISNUMBER(IF(D_I="SI",Datos!L16,Datos!L16+Datos!AF16)),IF(D_I="SI",Datos!L16,Datos!L16+Datos!AF16)," - ")</f>
        <v>8558</v>
      </c>
      <c r="AB16" s="374">
        <f>IF(ISNUMBER(Datos!R16),Datos!R16," - ")</f>
        <v>1454</v>
      </c>
      <c r="AC16" s="374">
        <f t="shared" ref="AC16:AC22" si="8">IF(ISNUMBER(AA16+AB16),AA16+AB16," - ")</f>
        <v>10012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2020</v>
      </c>
      <c r="AJ16" s="245" t="str">
        <f>IF(ISNUMBER(Datos!BW16),Datos!BW16," - ")</f>
        <v xml:space="preserve"> - </v>
      </c>
      <c r="AK16" s="246" t="str">
        <f>IF(ISNUMBER(Datos!BX16),Datos!BX16," - ")</f>
        <v xml:space="preserve"> - </v>
      </c>
      <c r="AL16" s="266">
        <f>IF(ISNUMBER(NºAsuntos!G16/NºAsuntos!E16),NºAsuntos!G16/NºAsuntos!E16," - ")</f>
        <v>1.0286894396070552</v>
      </c>
      <c r="AM16" s="284">
        <f>IF(ISNUMBER(((NºAsuntos!I16/NºAsuntos!G16)*11)/factor_trimestre),((NºAsuntos!I16/NºAsuntos!G16)*11)/factor_trimestre," - ")</f>
        <v>1.3930548019533371</v>
      </c>
      <c r="AN16" s="267">
        <f>IF(ISNUMBER('Resol  Asuntos'!D16/NºAsuntos!G16),'Resol  Asuntos'!D16/NºAsuntos!G16," - ")</f>
        <v>0.10960390667390124</v>
      </c>
      <c r="AO16" s="268">
        <f>IF(ISNUMBER((NºAsuntos!C16+NºAsuntos!E16)/NºAsuntos!G16),(NºAsuntos!C16+NºAsuntos!E16)/NºAsuntos!G16," - ")</f>
        <v>1.4416711882799782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4</v>
      </c>
      <c r="B18" s="300" t="s">
        <v>511</v>
      </c>
      <c r="C18" s="7" t="str">
        <f>Datos!A18</f>
        <v>Jdos. Violencia contra la mujer</v>
      </c>
      <c r="D18" s="7"/>
      <c r="E18" s="1402">
        <f>IF(ISNUMBER(Datos!AQ18),Datos!AQ18," - ")</f>
        <v>4</v>
      </c>
      <c r="F18" s="239" t="str">
        <f>IF(ISNUMBER(AA18+W18-H18-K18),AA18+W18-H18-K18," - ")</f>
        <v xml:space="preserve"> - </v>
      </c>
      <c r="G18" s="373">
        <f>IF(ISNUMBER(IF(D_I="SI",Datos!I18,Datos!I18+Datos!AC18)),IF(D_I="SI",Datos!I18,Datos!I18+Datos!AC18)," - ")</f>
        <v>753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1704</v>
      </c>
      <c r="X18" s="240">
        <f>IF(ISNUMBER(Datos!Q18),Datos!Q18," - ")</f>
        <v>21</v>
      </c>
      <c r="Y18" s="374">
        <f t="shared" si="9"/>
        <v>1725</v>
      </c>
      <c r="Z18" s="375" t="str">
        <f>IF(ISNUMBER(Datos!CC18),Datos!CC18," - ")</f>
        <v xml:space="preserve"> - </v>
      </c>
      <c r="AA18" s="372">
        <f>IF(ISNUMBER(Datos!L18),Datos!L18,"-")</f>
        <v>757</v>
      </c>
      <c r="AB18" s="374">
        <f>IF(ISNUMBER(Datos!R18),Datos!R18," - ")</f>
        <v>30</v>
      </c>
      <c r="AC18" s="374">
        <f t="shared" si="8"/>
        <v>787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72</v>
      </c>
      <c r="AJ18" s="245" t="str">
        <f>IF(ISNUMBER(Datos!BW18),Datos!BW18," - ")</f>
        <v xml:space="preserve"> - </v>
      </c>
      <c r="AK18" s="246" t="str">
        <f>IF(ISNUMBER(Datos!BX18),Datos!BX18," - ")</f>
        <v xml:space="preserve"> - </v>
      </c>
      <c r="AL18" s="266">
        <f>IF(ISNUMBER(NºAsuntos!G18/NºAsuntos!E18),NºAsuntos!G18/NºAsuntos!E18," - ")</f>
        <v>0.99824253075571179</v>
      </c>
      <c r="AM18" s="284">
        <f>IF(ISNUMBER(((NºAsuntos!I18/NºAsuntos!G18)*11)/factor_trimestre),((NºAsuntos!I18/NºAsuntos!G18)*11)/factor_trimestre," - ")</f>
        <v>1.3327464788732395</v>
      </c>
      <c r="AN18" s="267">
        <f>IF(ISNUMBER('Resol  Asuntos'!D18/NºAsuntos!G18),'Resol  Asuntos'!D18/NºAsuntos!G18," - ")</f>
        <v>4.2253521126760563E-2</v>
      </c>
      <c r="AO18" s="268">
        <f>IF(ISNUMBER((NºAsuntos!C18+NºAsuntos!E18)/NºAsuntos!G18),(NºAsuntos!C18+NºAsuntos!E18)/NºAsuntos!G18," - ")</f>
        <v>1.443661971830986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24</v>
      </c>
      <c r="F23" s="1162">
        <f>SUBTOTAL(9,F15:F22)</f>
        <v>9072</v>
      </c>
      <c r="G23" s="1163">
        <f>SUBTOTAL(9,G16:G22)</f>
        <v>9407</v>
      </c>
      <c r="H23" s="1162">
        <f t="shared" ref="H23:O23" si="13">SUBTOTAL(9,H15:H22)</f>
        <v>0</v>
      </c>
      <c r="I23" s="1164">
        <f t="shared" si="13"/>
        <v>0</v>
      </c>
      <c r="J23" s="1164">
        <f t="shared" si="13"/>
        <v>0</v>
      </c>
      <c r="K23" s="1164">
        <f t="shared" si="13"/>
        <v>0</v>
      </c>
      <c r="L23" s="1164">
        <f t="shared" si="13"/>
        <v>830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20134</v>
      </c>
      <c r="X23" s="1164">
        <f t="shared" si="14"/>
        <v>943</v>
      </c>
      <c r="Y23" s="1165">
        <f t="shared" si="14"/>
        <v>20155</v>
      </c>
      <c r="Z23" s="1165">
        <f t="shared" si="14"/>
        <v>0</v>
      </c>
      <c r="AA23" s="1165">
        <f t="shared" si="14"/>
        <v>9315</v>
      </c>
      <c r="AB23" s="1165">
        <f t="shared" si="14"/>
        <v>1484</v>
      </c>
      <c r="AC23" s="1165">
        <f t="shared" si="14"/>
        <v>10799</v>
      </c>
      <c r="AD23" s="1165">
        <f t="shared" si="14"/>
        <v>0</v>
      </c>
      <c r="AE23" s="1169">
        <f t="shared" si="14"/>
        <v>0</v>
      </c>
      <c r="AF23" s="1162">
        <f t="shared" si="14"/>
        <v>0</v>
      </c>
      <c r="AG23" s="1170">
        <f t="shared" si="14"/>
        <v>0</v>
      </c>
      <c r="AH23" s="1167">
        <f t="shared" si="14"/>
        <v>0</v>
      </c>
      <c r="AI23" s="1162">
        <f t="shared" si="14"/>
        <v>2092</v>
      </c>
      <c r="AJ23" s="1164">
        <f t="shared" si="14"/>
        <v>0</v>
      </c>
      <c r="AK23" s="1167">
        <f t="shared" si="14"/>
        <v>0</v>
      </c>
      <c r="AL23" s="1171">
        <f>IF(ISNUMBER(NºAsuntos!G23/NºAsuntos!E23),NºAsuntos!G23/NºAsuntos!E23," - ")</f>
        <v>1.0260408704071753</v>
      </c>
      <c r="AM23" s="1171">
        <f>IF(ISNUMBER(((NºAsuntos!I23/NºAsuntos!G23)*11)/factor_trimestre),((NºAsuntos!I23/NºAsuntos!G23)*11)/factor_trimestre," - ")</f>
        <v>1.3879507301082745</v>
      </c>
      <c r="AN23" s="1172">
        <f>IF(ISNUMBER('Resol  Asuntos'!D23/NºAsuntos!G23),'Resol  Asuntos'!D23/NºAsuntos!G23," - ")</f>
        <v>0.10390384424356809</v>
      </c>
      <c r="AO23" s="1173">
        <f>IF(ISNUMBER((NºAsuntos!C23+NºAsuntos!E23)/NºAsuntos!G23),(NºAsuntos!C23+NºAsuntos!E23)/NºAsuntos!G23," - ")</f>
        <v>1.441839674182974</v>
      </c>
      <c r="AP23" s="1174" t="str">
        <f t="shared" si="2"/>
        <v xml:space="preserve"> - </v>
      </c>
      <c r="AQ23" s="1174">
        <f>IF(ISNUMBER((H23-W23+K23)/(F23)),(H23-W23+K23)/(F23)," - ")</f>
        <v>-2.2193562610229276</v>
      </c>
      <c r="AR23" s="1175">
        <f>IF(ISNUMBER((Datos!P23-Datos!Q23)/(Datos!R23-Datos!P23+Datos!Q23)),(Datos!P23-Datos!Q23)/(Datos!R23-Datos!P23+Datos!Q23)," - ")</f>
        <v>-7.0757670632435821E-2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58</v>
      </c>
      <c r="F31" s="1117">
        <f t="shared" si="20"/>
        <v>9414</v>
      </c>
      <c r="G31" s="1118">
        <f t="shared" si="20"/>
        <v>9749</v>
      </c>
      <c r="H31" s="1117">
        <f t="shared" si="20"/>
        <v>0</v>
      </c>
      <c r="I31" s="1119">
        <f t="shared" si="20"/>
        <v>0</v>
      </c>
      <c r="J31" s="1119">
        <f t="shared" si="20"/>
        <v>0</v>
      </c>
      <c r="K31" s="1180">
        <f t="shared" si="20"/>
        <v>0</v>
      </c>
      <c r="L31" s="1119">
        <f t="shared" si="20"/>
        <v>4080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20326</v>
      </c>
      <c r="X31" s="1118">
        <f t="shared" si="21"/>
        <v>4283</v>
      </c>
      <c r="Y31" s="1125">
        <f t="shared" si="21"/>
        <v>23687</v>
      </c>
      <c r="Z31" s="1125">
        <f t="shared" si="21"/>
        <v>0</v>
      </c>
      <c r="AA31" s="1125">
        <f t="shared" si="21"/>
        <v>9646</v>
      </c>
      <c r="AB31" s="1125">
        <f t="shared" si="21"/>
        <v>44503</v>
      </c>
      <c r="AC31" s="1125">
        <f t="shared" si="21"/>
        <v>11450</v>
      </c>
      <c r="AD31" s="1125">
        <f t="shared" si="21"/>
        <v>0</v>
      </c>
      <c r="AE31" s="1127">
        <f t="shared" si="21"/>
        <v>0</v>
      </c>
      <c r="AF31" s="1128">
        <f t="shared" si="21"/>
        <v>0</v>
      </c>
      <c r="AG31" s="1129">
        <f t="shared" si="21"/>
        <v>0</v>
      </c>
      <c r="AH31" s="1127">
        <f t="shared" si="21"/>
        <v>0</v>
      </c>
      <c r="AI31" s="1117">
        <f t="shared" si="21"/>
        <v>6154</v>
      </c>
      <c r="AJ31" s="1117">
        <f t="shared" si="21"/>
        <v>0</v>
      </c>
      <c r="AK31" s="1127">
        <f t="shared" si="21"/>
        <v>0</v>
      </c>
      <c r="AL31" s="1183">
        <f>IF(ISNUMBER(NºAsuntos!G31/NºAsuntos!E31),NºAsuntos!G31/NºAsuntos!E31," - ")</f>
        <v>1.0395438133990487</v>
      </c>
      <c r="AM31" s="1184">
        <f>IF(ISNUMBER(((NºAsuntos!I31/NºAsuntos!G31)*11)/factor_trimestre),((NºAsuntos!I31/NºAsuntos!G31)*11)/factor_trimestre," - ")</f>
        <v>4.3859639450906887</v>
      </c>
      <c r="AN31" s="1184">
        <f>IF(ISNUMBER('Resol  Asuntos'!D31/NºAsuntos!G31),'Resol  Asuntos'!D31/NºAsuntos!G31," - ")</f>
        <v>0.1696344892221181</v>
      </c>
      <c r="AO31" s="1185">
        <f>IF(ISNUMBER((NºAsuntos!C31+NºAsuntos!E31)/NºAsuntos!G31),(NºAsuntos!C31+NºAsuntos!E31)/NºAsuntos!G31," - ")</f>
        <v>2.4451458184023376</v>
      </c>
      <c r="AP31" s="1186" t="str">
        <f t="shared" si="2"/>
        <v xml:space="preserve"> - </v>
      </c>
      <c r="AQ31" s="1187">
        <f>IF(OR(ISNUMBER(FIND("01",Criterios!A8,1)),ISNUMBER(FIND("02",Criterios!A8,1)),ISNUMBER(FIND("03",Criterios!A8,1)),ISNUMBER(FIND("04",Criterios!A8,1))),(I31-W31+K31)/(F31-K31),(H31-W31+K31)/(F31-K31))</f>
        <v>-2.1591247078818783</v>
      </c>
      <c r="AR31" s="1188">
        <f>IF(ISNUMBER((Datos!P31-Datos!Q31)/(Datos!R31-Datos!P31+Datos!Q31)),(Datos!P31-Datos!Q31)/(Datos!R31-Datos!P31+Datos!Q31)," - ")</f>
        <v>-4.540777524269673E-3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2785.4285714285716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10.718077858574089</v>
      </c>
      <c r="F33" s="276">
        <f>IF(ISNUMBER(STDEV(F8:F30)),STDEV(F8:F30),"-")</f>
        <v>4599.0005870841114</v>
      </c>
      <c r="G33" s="277">
        <f>IF(ISNUMBER(STDEV(G8:G30)),STDEV(G8:G30),"-")</f>
        <v>4279.2915245845252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9237.0324754425837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1516.1706789731088</v>
      </c>
      <c r="AJ33" s="276">
        <f t="shared" si="25"/>
        <v>0</v>
      </c>
      <c r="AK33" s="278">
        <f t="shared" si="25"/>
        <v>0</v>
      </c>
      <c r="AL33" s="273">
        <f t="shared" si="25"/>
        <v>2.417760848885326E-2</v>
      </c>
      <c r="AM33" s="274">
        <f t="shared" si="25"/>
        <v>3.3559047482781543</v>
      </c>
      <c r="AN33" s="274">
        <f t="shared" si="25"/>
        <v>0.12010798875397267</v>
      </c>
      <c r="AO33" s="275">
        <f t="shared" si="25"/>
        <v>1.1190097900633704</v>
      </c>
      <c r="AP33" s="317" t="str">
        <f t="shared" si="25"/>
        <v>-</v>
      </c>
      <c r="AQ33" s="318">
        <f t="shared" si="25"/>
        <v>1.1723496340035804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kWllVu+TNNoO9Y2VLhTdIm65L4W3ih3DKWgztUUy0Ndyk1ksvhvouB2cIh11SZrj92eoyiY634Nt0w/JUu35Q==" saltValue="N6HShxhoiBiwUMErrBjm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SEVILLA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3.0945173225697949E-2</v>
      </c>
      <c r="I9" s="395">
        <f>IF(ISNUMBER((Tasas!C9-Datos!BE9)/Datos!BE9),(Tasas!C9-Datos!BE9)/Datos!BE9," - ")</f>
        <v>2.4803676787752983E-5</v>
      </c>
      <c r="J9" s="394">
        <f>IF(ISNUMBER((Tasas!D9-Datos!BF9)/Datos!BF9),(Tasas!D9-Datos!BF9)/Datos!BF9," - ")</f>
        <v>-0.44726978868696188</v>
      </c>
      <c r="K9" s="396">
        <f>IF(ISNUMBER((Tasas!E9-Datos!BG9)/Datos!BG9),(Tasas!E9-Datos!BG9)/Datos!BG9," - ")</f>
        <v>-1.0144798443405122E-2</v>
      </c>
      <c r="M9" t="e">
        <f>IF(Monitorios="SI",Datos!CE9,0)</f>
        <v>#REF!</v>
      </c>
      <c r="N9" t="e">
        <f>IF(Monitorios="SI",Datos!CF9,0)</f>
        <v>#REF!</v>
      </c>
      <c r="O9" t="e">
        <f>IF(Monitorios="SI",Datos!CG9,0)</f>
        <v>#REF!</v>
      </c>
      <c r="P9" t="e">
        <f>IF(Monitorios="SI",Datos!CH9,0)</f>
        <v>#REF!</v>
      </c>
      <c r="Q9">
        <f>IF(J_V="SI",0,Datos!AG9)</f>
        <v>782</v>
      </c>
      <c r="R9">
        <f>IF(J_V="SI",0,Datos!AH9)</f>
        <v>871</v>
      </c>
      <c r="S9">
        <f>IF(J_V="SI",0,Datos!AI9)</f>
        <v>961</v>
      </c>
      <c r="T9">
        <f>IF(J_V="SI",0,Datos!AJ9)</f>
        <v>724</v>
      </c>
    </row>
    <row r="10" spans="2:20" ht="14.25">
      <c r="B10" s="300" t="s">
        <v>321</v>
      </c>
      <c r="C10" s="7" t="str">
        <f>Datos!A10</f>
        <v>Jdos. Violencia contra la mujer</v>
      </c>
      <c r="D10" s="397">
        <f>IF(ISNUMBER((Datos!I10-Datos!S10)/Datos!S10),(Datos!I10-Datos!S10)/Datos!S10," - ")</f>
        <v>-4.4692737430167599E-2</v>
      </c>
      <c r="E10" s="393">
        <f>IF(ISNUMBER((Datos!J10-Datos!T10)/Datos!T10),(Datos!J10-Datos!T10)/Datos!T10," - ")</f>
        <v>0.19867549668874171</v>
      </c>
      <c r="F10" s="393">
        <f>IF(ISNUMBER((Datos!K10-Datos!U10)/Datos!U10),(Datos!K10-Datos!U10)/Datos!U10," - ")</f>
        <v>-1.5384615384615385E-2</v>
      </c>
      <c r="G10" s="394">
        <f>IF(ISNUMBER((Datos!L10-Datos!V10)/Datos!V10),(Datos!L10-Datos!V10)/Datos!V10," - ")</f>
        <v>5.4140127388535034E-2</v>
      </c>
      <c r="H10" s="244">
        <f>IF(ISNUMBER((Datos!M10-Datos!W10)/Datos!W10),(Datos!M10-Datos!W10)/Datos!W10," - ")</f>
        <v>0.13114754098360656</v>
      </c>
      <c r="I10" s="395">
        <f>IF(ISNUMBER((Tasas!C10-Datos!BE10)/Datos!BE10),(Tasas!C10-Datos!BE10)/Datos!BE10," - ")</f>
        <v>7.0611066878980805E-2</v>
      </c>
      <c r="J10" s="394">
        <f>IF(ISNUMBER((Tasas!D10-Datos!BF10)/Datos!BF10),(Tasas!D10-Datos!BF10)/Datos!BF10," - ")</f>
        <v>0.14882172131147542</v>
      </c>
      <c r="K10" s="396">
        <f>IF(ISNUMBER((Tasas!E10-Datos!BG10)/Datos!BG10),(Tasas!E10-Datos!BG10)/Datos!BG10," - ")</f>
        <v>4.3559675834970564E-2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-0.1972318339100346</v>
      </c>
      <c r="I11" s="395">
        <f>IF(ISNUMBER((Tasas!C11-Datos!BE11)/Datos!BE11),(Tasas!C11-Datos!BE11)/Datos!BE11," - ")</f>
        <v>-3.1321671638257758E-3</v>
      </c>
      <c r="J11" s="394">
        <f>IF(ISNUMBER((Tasas!D11-Datos!BF11)/Datos!BF11),(Tasas!D11-Datos!BF11)/Datos!BF11," - ")</f>
        <v>-0.17850600312571099</v>
      </c>
      <c r="K11" s="396">
        <f>IF(ISNUMBER((Tasas!E11-Datos!BG11)/Datos!BG11),(Tasas!E11-Datos!BG11)/Datos!BG11," - ")</f>
        <v>-1.7504266725759713E-3</v>
      </c>
      <c r="M11" t="e">
        <f>IF(Monitorios="SI",Datos!CE11,0)</f>
        <v>#REF!</v>
      </c>
      <c r="N11" t="e">
        <f>IF(Monitorios="SI",Datos!CF11,0)</f>
        <v>#REF!</v>
      </c>
      <c r="O11" t="e">
        <f>IF(Monitorios="SI",Datos!CG11,0)</f>
        <v>#REF!</v>
      </c>
      <c r="P11" t="e">
        <f>IF(Monitorios="SI",Datos!CH11,0)</f>
        <v>#REF!</v>
      </c>
      <c r="Q11">
        <f>IF(J_V="SI",0,Datos!AG11)</f>
        <v>429</v>
      </c>
      <c r="R11">
        <f>IF(J_V="SI",0,Datos!AH11)</f>
        <v>908</v>
      </c>
      <c r="S11">
        <f>IF(J_V="SI",0,Datos!AI11)</f>
        <v>952</v>
      </c>
      <c r="T11">
        <f>IF(J_V="SI",0,Datos!AJ11)</f>
        <v>385</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-3.054892601431981E-2</v>
      </c>
      <c r="I14" s="402">
        <f>IF(ISNUMBER((Tasas!C14-Datos!BE14)/Datos!BE14),(Tasas!C14-Datos!BE14)/Datos!BE14," - ")</f>
        <v>6.0850632012696571E-3</v>
      </c>
      <c r="J14" s="400">
        <f>IF(ISNUMBER((Tasas!D14-Datos!BF14)/Datos!BF14),(Tasas!D14-Datos!BF14)/Datos!BF14," - ")</f>
        <v>-0.3966117736579316</v>
      </c>
      <c r="K14" s="403">
        <f>IF(ISNUMBER((Tasas!E14-Datos!BG14)/Datos!BG14),(Tasas!E14-Datos!BG14)/Datos!BG14," - ")</f>
        <v>-4.6921430227509385E-3</v>
      </c>
      <c r="M14" t="e">
        <f>IF(Monitorios="SI",Datos!CE14,0)</f>
        <v>#REF!</v>
      </c>
      <c r="N14" t="e">
        <f>IF(Monitorios="SI",Datos!CF14,0)</f>
        <v>#REF!</v>
      </c>
      <c r="O14" t="e">
        <f>IF(Monitorios="SI",Datos!CG14,0)</f>
        <v>#REF!</v>
      </c>
      <c r="P14" t="e">
        <f>IF(Monitorios="SI",Datos!CH14,0)</f>
        <v>#REF!</v>
      </c>
      <c r="Q14">
        <f>IF(J_V="SI",0,Datos!AG14)</f>
        <v>1211</v>
      </c>
      <c r="R14">
        <f>IF(J_V="SI",0,Datos!AH14)</f>
        <v>1779</v>
      </c>
      <c r="S14">
        <f>IF(J_V="SI",0,Datos!AI14)</f>
        <v>1913</v>
      </c>
      <c r="T14">
        <f>IF(J_V="SI",0,Datos!AJ14)</f>
        <v>1109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-0.10153654485049834</v>
      </c>
      <c r="E16" s="393">
        <f>IF(ISNUMBER(
   IF(D_I="SI",(Datos!J16-Datos!T16)/Datos!T16,(Datos!J16+Datos!AD16-(Datos!T16+Datos!AL16))/(Datos!T16+Datos!AL16))
     ),IF(D_I="SI",(Datos!J16-Datos!T16)/Datos!T16,(Datos!J16+Datos!AD16-(Datos!T16+Datos!AL16))/(Datos!T16+Datos!AL16))," - ")</f>
        <v>-1.0439105219552609E-2</v>
      </c>
      <c r="F16" s="393">
        <f>IF(ISNUMBER(
   IF(D_I="SI",(Datos!K16-Datos!U16)/Datos!U16,(Datos!K16+Datos!AE16-(Datos!U16+Datos!AM16))/(Datos!U16+Datos!AM16))
     ),IF(D_I="SI",(Datos!K16-Datos!U16)/Datos!U16,(Datos!K16+Datos!AE16-(Datos!U16+Datos!AM16))/(Datos!U16+Datos!AM16))," - ")</f>
        <v>-3.7999791209938405E-2</v>
      </c>
      <c r="G16" s="394">
        <f>IF(ISNUMBER(
   IF(D_I="SI",(Datos!L16-Datos!V16)/Datos!V16,(Datos!L16+Datos!AF16-(Datos!V16+Datos!AN16))/(Datos!V16+Datos!AN16))
     ),IF(D_I="SI",(Datos!L16-Datos!V16)/Datos!V16,(Datos!L16+Datos!AF16-(Datos!V16+Datos!AN16))/(Datos!V16+Datos!AN16))," - ")</f>
        <v>-6.7146282973621102E-2</v>
      </c>
      <c r="H16" s="244">
        <f>IF(ISNUMBER((Datos!M16-Datos!W16)/Datos!W16),(Datos!M16-Datos!W16)/Datos!W16," - ")</f>
        <v>-1.02890739833415E-2</v>
      </c>
      <c r="I16" s="395">
        <f>IF(ISNUMBER((Tasas!C16-Datos!BE16)/Datos!BE16),(Tasas!C16-Datos!BE16)/Datos!BE16," - ")</f>
        <v>-3.0297801910397902E-2</v>
      </c>
      <c r="J16" s="394">
        <f>IF(ISNUMBER((Tasas!D16-Datos!BF16)/Datos!BF16),(Tasas!D16-Datos!BF16)/Datos!BF16," - ")</f>
        <v>2.8805313110534084E-2</v>
      </c>
      <c r="K16" s="396">
        <f>IF(ISNUMBER((Tasas!E16-Datos!BG16)/Datos!BG16),(Tasas!E16-Datos!BG16)/Datos!BG16," - ")</f>
        <v>-4.2348983283043741E-3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-3.5851472471190783E-2</v>
      </c>
      <c r="E18" s="393">
        <f>IF(ISNUMBER(
   IF(D_I="SI",(Datos!J18-Datos!T18)/Datos!T18,(Datos!J18+Datos!AD18-(Datos!T18+Datos!AL18))/(Datos!T18+Datos!AL18))
     ),IF(D_I="SI",(Datos!J18-Datos!T18)/Datos!T18,(Datos!J18+Datos!AD18-(Datos!T18+Datos!AL18))/(Datos!T18+Datos!AL18))," - ")</f>
        <v>0.11350293542074363</v>
      </c>
      <c r="F18" s="393">
        <f>IF(ISNUMBER(
   IF(D_I="SI",(Datos!K18-Datos!U18)/Datos!U18,(Datos!K18+Datos!AE18-(Datos!U18+Datos!AM18))/(Datos!U18+Datos!AM18))
     ),IF(D_I="SI",(Datos!K18-Datos!U18)/Datos!U18,(Datos!K18+Datos!AE18-(Datos!U18+Datos!AM18))/(Datos!U18+Datos!AM18))," - ")</f>
        <v>9.4412331406551059E-2</v>
      </c>
      <c r="G18" s="394">
        <f>IF(ISNUMBER(
   IF(D_I="SI",(Datos!L18-Datos!V18)/Datos!V18,(Datos!L18+Datos!AF18-(Datos!V18+Datos!AN18))/(Datos!V18+Datos!AN18))
     ),IF(D_I="SI",(Datos!L18-Datos!V18)/Datos!V18,(Datos!L18+Datos!AF18-(Datos!V18+Datos!AN18))/(Datos!V18+Datos!AN18))," - ")</f>
        <v>-6.5616797900262466E-3</v>
      </c>
      <c r="H18" s="244">
        <f>IF(ISNUMBER((Datos!M18-Datos!W18)/Datos!W18),(Datos!M18-Datos!W18)/Datos!W18," - ")</f>
        <v>-0.27272727272727271</v>
      </c>
      <c r="I18" s="395">
        <f>IF(ISNUMBER((Tasas!C18-Datos!BE18)/Datos!BE18),(Tasas!C18-Datos!BE18)/Datos!BE18," - ")</f>
        <v>-9.2263225019407813E-2</v>
      </c>
      <c r="J18" s="394">
        <f>IF(ISNUMBER((Tasas!D18-Datos!BF18)/Datos!BF18),(Tasas!D18-Datos!BF18)/Datos!BF18," - ")</f>
        <v>-0.33546734955185659</v>
      </c>
      <c r="K18" s="396">
        <f>IF(ISNUMBER((Tasas!E18-Datos!BG18)/Datos!BG18),(Tasas!E18-Datos!BG18)/Datos!BG18," - ")</f>
        <v>-2.8616382825909639E-2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-9.6610006722366276E-2</v>
      </c>
      <c r="E23" s="399">
        <f>IF(ISNUMBER(
   IF(D_I="SI",(Datos!J23-Datos!T23)/Datos!T23,(Datos!J23+Datos!AD23-(Datos!T23+Datos!AL23))/(Datos!T23+Datos!AL23))
     ),IF(D_I="SI",(Datos!J23-Datos!T23)/Datos!T23,(Datos!J23+Datos!AD23-(Datos!T23+Datos!AL23))/(Datos!T23+Datos!AL23))," - ")</f>
        <v>-7.6382523678582336E-4</v>
      </c>
      <c r="F23" s="399">
        <f>IF(ISNUMBER(
   IF(D_I="SI",(Datos!K23-Datos!U23)/Datos!U23,(Datos!K23+Datos!AE23-(Datos!U23+Datos!AM23))/(Datos!U23+Datos!AM23))
     ),IF(D_I="SI",(Datos!K23-Datos!U23)/Datos!U23,(Datos!K23+Datos!AE23-(Datos!U23+Datos!AM23))/(Datos!U23+Datos!AM23))," - ")</f>
        <v>-2.8047308713492636E-2</v>
      </c>
      <c r="G23" s="400">
        <f>IF(ISNUMBER(
   IF(D_I="SI",(Datos!L23-Datos!V23)/Datos!V23,(Datos!L23+Datos!AF23-(Datos!V23+Datos!AN23))/(Datos!V23+Datos!AN23))
     ),IF(D_I="SI",(Datos!L23-Datos!V23)/Datos!V23,(Datos!L23+Datos!AF23-(Datos!V23+Datos!AN23))/(Datos!V23+Datos!AN23))," - ")</f>
        <v>-6.25E-2</v>
      </c>
      <c r="H23" s="401">
        <f>IF(ISNUMBER((Datos!M23-Datos!W23)/Datos!W23),(Datos!M23-Datos!W23)/Datos!W23," - ")</f>
        <v>-2.2429906542056073E-2</v>
      </c>
      <c r="I23" s="402">
        <f>IF(ISNUMBER((Tasas!C23-Datos!BE23)/Datos!BE23),(Tasas!C23-Datos!BE23)/Datos!BE23," - ")</f>
        <v>-3.5446880897983535E-2</v>
      </c>
      <c r="J23" s="400">
        <f>IF(ISNUMBER((Tasas!D23-Datos!BF23)/Datos!BF23),(Tasas!D23-Datos!BF23)/Datos!BF23," - ")</f>
        <v>5.7795016380901704E-3</v>
      </c>
      <c r="K23" s="403">
        <f>IF(ISNUMBER((Tasas!E23-Datos!BG23)/Datos!BG23),(Tasas!E23-Datos!BG23)/Datos!BG23," - ")</f>
        <v>-6.0993361052774165E-3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-8.8233300572745449E-2</v>
      </c>
      <c r="E31" s="409">
        <f>IF(ISNUMBER(
   IF(J_V="SI",(Datos!J31-Datos!T31)/Datos!T31,(Datos!J31+Datos!Z31-(Datos!T31+Datos!AH31))/(Datos!T31+Datos!AH31))
     ),IF(J_V="SI",(Datos!J31-Datos!T31)/Datos!T31,(Datos!J31+Datos!Z31-(Datos!T31+Datos!AH31))/(Datos!T31+Datos!AH31))," - ")</f>
        <v>-9.1611795018608643E-4</v>
      </c>
      <c r="F31" s="409">
        <f>IF(ISNUMBER(
   IF(J_V="SI",(Datos!K31-Datos!U31)/Datos!U31,(Datos!K31+Datos!AA31-(Datos!U31+Datos!AI31))/(Datos!U31+Datos!AI31))
     ),IF(J_V="SI",(Datos!K31-Datos!U31)/Datos!U31,(Datos!K31+Datos!AA31-(Datos!U31+Datos!AI31))/(Datos!U31+Datos!AI31))," - ")</f>
        <v>-4.3276457712492417E-2</v>
      </c>
      <c r="G31" s="410">
        <f>IF(ISNUMBER(
   IF(J_V="SI",(Datos!L31-Datos!V31)/Datos!V31,(Datos!L31+Datos!AB31-(Datos!V31+Datos!AJ31))/(Datos!V31+Datos!AJ31))
     ),IF(J_V="SI",(Datos!L31-Datos!V31)/Datos!V31,(Datos!L31+Datos!AB31-(Datos!V31+Datos!AJ31))/(Datos!V31+Datos!AJ31))," - ")</f>
        <v>-5.7068695775849811E-2</v>
      </c>
      <c r="H31" s="411">
        <f>IF(ISNUMBER((Datos!M31-Datos!W31)/Datos!W31),(Datos!M31-Datos!W31)/Datos!W31," - ")</f>
        <v>-2.7804107424960506E-2</v>
      </c>
      <c r="I31" s="408">
        <f>IF(ISNUMBER((Tasas!C31-Datos!BE31)/Datos!BE31),(Tasas!C31-Datos!BE31)/Datos!BE31," - ")</f>
        <v>-1.4416116520327748E-2</v>
      </c>
      <c r="J31" s="409">
        <f>IF(ISNUMBER((Tasas!D31-Datos!BF31)/Datos!BF31),(Tasas!D31-Datos!BF31)/Datos!BF31," - ")</f>
        <v>-0.30938692325386552</v>
      </c>
      <c r="K31" s="410">
        <f>IF(ISNUMBER((Tasas!E31-Datos!BG31)/Datos!BG31),(Tasas!E31-Datos!BG31)/Datos!BG31," - ")</f>
        <v>-1.3055817423164537E-2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3.4199400889766134E-2</v>
      </c>
      <c r="E33" s="303">
        <f t="shared" si="1"/>
        <v>9.9695978741338231E-2</v>
      </c>
      <c r="F33" s="303">
        <f t="shared" si="1"/>
        <v>6.1478685389457416E-2</v>
      </c>
      <c r="G33" s="304">
        <f t="shared" si="1"/>
        <v>5.6877939342941816E-2</v>
      </c>
      <c r="H33" s="310">
        <f t="shared" si="1"/>
        <v>0.13741834376164097</v>
      </c>
      <c r="I33" s="302">
        <f t="shared" si="1"/>
        <v>4.9500199017465156E-2</v>
      </c>
      <c r="J33" s="303">
        <f t="shared" si="1"/>
        <v>0.23370849107960051</v>
      </c>
      <c r="K33" s="304">
        <f t="shared" si="1"/>
        <v>2.1905018436543394E-2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cZsN8+rNTZq2XUBjkH81Qlzh9c6LkhwH1XRTdkl8dhwGLilLq9PWEWNvETrKDuA3E2URcJIuSclHtvNQ4WbfA==" saltValue="F5y28D5OuwovF9Nb6DzUc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